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0605" windowHeight="7080" tabRatio="598"/>
  </bookViews>
  <sheets>
    <sheet name="ورودي ها" sheetId="1" r:id="rId1"/>
    <sheet name="مشخصات سيم بكسلها" sheetId="2" r:id="rId2"/>
    <sheet name="مشخصات ريلها" sheetId="3" r:id="rId3"/>
    <sheet name="موتور" sheetId="5" r:id="rId4"/>
    <sheet name="محاسبات" sheetId="4" r:id="rId5"/>
    <sheet name="مشخصات فنی" sheetId="6" r:id="rId6"/>
    <sheet name="تاییدیه اجزا" sheetId="7" r:id="rId7"/>
  </sheets>
  <definedNames>
    <definedName name="_xlnm.Print_Area" localSheetId="6">'تاییدیه اجزا'!$A$1:$G$65</definedName>
    <definedName name="_xlnm.Print_Area" localSheetId="4">محاسبات!$A$1:$E$94</definedName>
    <definedName name="_xlnm.Print_Area" localSheetId="0">'ورودي ها'!$A$1:$C$131</definedName>
  </definedNames>
  <calcPr calcId="152511"/>
</workbook>
</file>

<file path=xl/calcChain.xml><?xml version="1.0" encoding="utf-8"?>
<calcChain xmlns="http://schemas.openxmlformats.org/spreadsheetml/2006/main">
  <c r="A9" i="7" l="1"/>
  <c r="B16" i="1" l="1"/>
  <c r="B24" i="1"/>
  <c r="B25" i="1"/>
  <c r="B33" i="1"/>
  <c r="B26" i="1" l="1"/>
  <c r="F11" i="7"/>
  <c r="D60" i="6"/>
  <c r="F6" i="6"/>
  <c r="B17" i="6"/>
  <c r="D13" i="6"/>
  <c r="D65" i="6"/>
  <c r="G30" i="6"/>
  <c r="B28" i="6"/>
  <c r="B27" i="6"/>
  <c r="D23" i="6"/>
  <c r="B23" i="6"/>
  <c r="G22" i="6"/>
  <c r="D22" i="6"/>
  <c r="D22" i="7" l="1"/>
  <c r="A30" i="7" l="1"/>
  <c r="A3" i="7"/>
  <c r="A1" i="6"/>
  <c r="A36" i="6"/>
  <c r="G30" i="7"/>
  <c r="E40" i="6"/>
  <c r="D27" i="7" l="1"/>
  <c r="D26" i="7"/>
  <c r="D25" i="7"/>
  <c r="D24" i="7"/>
  <c r="D23" i="7"/>
  <c r="D21" i="7"/>
  <c r="D20" i="7"/>
  <c r="D19" i="7"/>
  <c r="D18" i="7"/>
  <c r="D17" i="7"/>
  <c r="D16" i="7"/>
  <c r="B13" i="7"/>
  <c r="A12" i="7"/>
  <c r="E11" i="7"/>
  <c r="D11" i="7"/>
  <c r="G3" i="7"/>
  <c r="G70" i="6"/>
  <c r="D70" i="6"/>
  <c r="B70" i="6"/>
  <c r="F65" i="6"/>
  <c r="B65" i="6"/>
  <c r="F64" i="6"/>
  <c r="C64" i="6"/>
  <c r="F63" i="6"/>
  <c r="D63" i="6"/>
  <c r="B63" i="6"/>
  <c r="F62" i="6"/>
  <c r="B62" i="6"/>
  <c r="F59" i="6"/>
  <c r="D59" i="6" s="1"/>
  <c r="F58" i="6"/>
  <c r="D58" i="6" s="1"/>
  <c r="F57" i="6"/>
  <c r="B57" i="6"/>
  <c r="E54" i="6"/>
  <c r="D53" i="6"/>
  <c r="B53" i="6"/>
  <c r="F52" i="6"/>
  <c r="C52" i="6"/>
  <c r="D50" i="6"/>
  <c r="F49" i="6"/>
  <c r="B49" i="6"/>
  <c r="F47" i="6"/>
  <c r="D47" i="6"/>
  <c r="B45" i="6"/>
  <c r="D44" i="6"/>
  <c r="B44" i="6"/>
  <c r="E41" i="6"/>
  <c r="B41" i="6"/>
  <c r="B40" i="6"/>
  <c r="G36" i="6"/>
  <c r="G35" i="6"/>
  <c r="D35" i="6"/>
  <c r="B35" i="6"/>
  <c r="G34" i="6"/>
  <c r="D34" i="6"/>
  <c r="B34" i="6"/>
  <c r="E33" i="6"/>
  <c r="F31" i="6"/>
  <c r="D31" i="6"/>
  <c r="C30" i="6"/>
  <c r="F29" i="6"/>
  <c r="B29" i="6"/>
  <c r="F28" i="6"/>
  <c r="D28" i="6"/>
  <c r="F27" i="6"/>
  <c r="G26" i="6"/>
  <c r="E26" i="6"/>
  <c r="C26" i="6"/>
  <c r="B24" i="6"/>
  <c r="G21" i="6"/>
  <c r="D21" i="6"/>
  <c r="B21" i="6"/>
  <c r="G20" i="6"/>
  <c r="D20" i="6"/>
  <c r="G18" i="6"/>
  <c r="D18" i="6"/>
  <c r="B18" i="6"/>
  <c r="D17" i="6"/>
  <c r="D16" i="6"/>
  <c r="C14" i="6"/>
  <c r="F13" i="6"/>
  <c r="B13" i="6"/>
  <c r="D11" i="6"/>
  <c r="G10" i="6"/>
  <c r="D10" i="6"/>
  <c r="B10" i="6"/>
  <c r="G9" i="6"/>
  <c r="D9" i="6"/>
  <c r="B9" i="6"/>
  <c r="F7" i="6"/>
  <c r="B7" i="6"/>
  <c r="D6" i="6"/>
  <c r="B6" i="6"/>
  <c r="G5" i="6"/>
  <c r="E5" i="6"/>
  <c r="D5" i="6"/>
  <c r="B5" i="6"/>
  <c r="G1" i="6"/>
  <c r="B71" i="4"/>
  <c r="D57" i="4"/>
  <c r="B57" i="4"/>
  <c r="B54" i="4"/>
  <c r="B32" i="4"/>
  <c r="B31" i="4"/>
  <c r="B30" i="4"/>
  <c r="B29" i="4"/>
  <c r="C52" i="4" s="1"/>
  <c r="B28" i="4"/>
  <c r="B27" i="4"/>
  <c r="B24" i="4"/>
  <c r="B23" i="4"/>
  <c r="B22" i="4"/>
  <c r="B21" i="4"/>
  <c r="B20" i="4"/>
  <c r="B77" i="4" s="1"/>
  <c r="B78" i="4" s="1"/>
  <c r="B19" i="4"/>
  <c r="B18" i="4"/>
  <c r="B17" i="4"/>
  <c r="B13" i="4"/>
  <c r="B12" i="4"/>
  <c r="B11" i="4"/>
  <c r="B9" i="4"/>
  <c r="B8" i="4"/>
  <c r="C7" i="4"/>
  <c r="B7" i="4" s="1"/>
  <c r="B6" i="4"/>
  <c r="B5" i="4"/>
  <c r="B3" i="4"/>
  <c r="B4" i="4" s="1"/>
  <c r="B88" i="4" s="1"/>
  <c r="B2" i="4"/>
  <c r="A2" i="4"/>
  <c r="B114" i="1"/>
  <c r="F60" i="6" s="1"/>
  <c r="B110" i="1"/>
  <c r="B96" i="1"/>
  <c r="D49" i="6" s="1"/>
  <c r="B85" i="1"/>
  <c r="G40" i="6" s="1"/>
  <c r="B10" i="4"/>
  <c r="F15" i="1"/>
  <c r="D2" i="1"/>
  <c r="B52" i="1" l="1"/>
  <c r="F17" i="6" s="1"/>
  <c r="B59" i="6"/>
  <c r="B80" i="4"/>
  <c r="D82" i="4" s="1"/>
  <c r="K88" i="1"/>
  <c r="K89" i="1" s="1"/>
  <c r="B92" i="4"/>
  <c r="B94" i="4"/>
  <c r="B36" i="4"/>
  <c r="B38" i="4" s="1"/>
  <c r="B73" i="4" s="1"/>
  <c r="B58" i="6"/>
  <c r="D3" i="1"/>
  <c r="B106" i="1" s="1"/>
  <c r="B67" i="4"/>
  <c r="B44" i="4"/>
  <c r="B46" i="4" s="1"/>
  <c r="B84" i="4"/>
  <c r="B13" i="1" l="1"/>
  <c r="A47" i="6" s="1"/>
  <c r="B82" i="4"/>
  <c r="B48" i="4"/>
  <c r="B50" i="4" s="1"/>
  <c r="D52" i="4" s="1"/>
  <c r="B66" i="4"/>
  <c r="B68" i="4" s="1"/>
  <c r="B15" i="4"/>
  <c r="B56" i="4" s="1"/>
  <c r="B60" i="4"/>
  <c r="B90" i="4"/>
  <c r="B104" i="1"/>
  <c r="B54" i="6" s="1"/>
  <c r="B55" i="6"/>
  <c r="B61" i="4"/>
  <c r="B62" i="4" s="1"/>
  <c r="B86" i="4"/>
  <c r="D75" i="4"/>
  <c r="B75" i="4"/>
  <c r="B40" i="4"/>
  <c r="B52" i="4"/>
  <c r="B69" i="4" l="1"/>
  <c r="D69" i="4"/>
  <c r="B63" i="4"/>
  <c r="D63" i="4"/>
  <c r="D42" i="4"/>
  <c r="B42" i="4"/>
</calcChain>
</file>

<file path=xl/sharedStrings.xml><?xml version="1.0" encoding="utf-8"?>
<sst xmlns="http://schemas.openxmlformats.org/spreadsheetml/2006/main" count="573" uniqueCount="364">
  <si>
    <t>ظرفيت</t>
  </si>
  <si>
    <t>تعداد طبقات</t>
  </si>
  <si>
    <t>اورهد</t>
  </si>
  <si>
    <t>عمق چاهك</t>
  </si>
  <si>
    <t>نفر</t>
  </si>
  <si>
    <t>طبقه</t>
  </si>
  <si>
    <t>تعداد سيم بكسل</t>
  </si>
  <si>
    <t>رشته</t>
  </si>
  <si>
    <t>قطرسيم بكسل</t>
  </si>
  <si>
    <t>حداقل بار پارگي سيم بكسل</t>
  </si>
  <si>
    <t>نوع ريل</t>
  </si>
  <si>
    <t>مساحت سطح مقطع ريل</t>
  </si>
  <si>
    <t>شعاع ژيراسيون ريل</t>
  </si>
  <si>
    <t>مقاومت كششي فولاد ريل</t>
  </si>
  <si>
    <t>جرم واحد طول ريل</t>
  </si>
  <si>
    <t>نسبت تبديل</t>
  </si>
  <si>
    <t>اعداد زير را وارد كنيد:</t>
  </si>
  <si>
    <t>سرعت آسانسور</t>
  </si>
  <si>
    <t>قطر فلكه گيربكس</t>
  </si>
  <si>
    <t>نوع سيم بكسل</t>
  </si>
  <si>
    <t>شماره سيم بكسل</t>
  </si>
  <si>
    <t>قطر سيم بكسل</t>
  </si>
  <si>
    <t>جرم واحد سيم بكسل</t>
  </si>
  <si>
    <t>T9</t>
  </si>
  <si>
    <t>T16</t>
  </si>
  <si>
    <t>نام موتور</t>
  </si>
  <si>
    <t>زاويه پيچش</t>
  </si>
  <si>
    <t>نوع ترمز ايمني</t>
  </si>
  <si>
    <t>نوع شيار</t>
  </si>
  <si>
    <t>V</t>
  </si>
  <si>
    <t>نوع موتور</t>
  </si>
  <si>
    <t>ELECOMP</t>
  </si>
  <si>
    <t>توان موتور</t>
  </si>
  <si>
    <t>ELEMOL</t>
  </si>
  <si>
    <t>فاصله بين دو براكت</t>
  </si>
  <si>
    <t>راندمان موتور</t>
  </si>
  <si>
    <t>راندمان گيربكس</t>
  </si>
  <si>
    <t>قطر فلكه هرز گرد</t>
  </si>
  <si>
    <t>زنجير جبران</t>
  </si>
  <si>
    <t>ندارد</t>
  </si>
  <si>
    <r>
      <t>جدول ضریب کمانش</t>
    </r>
    <r>
      <rPr>
        <b/>
        <sz val="11"/>
        <rFont val="Symbol"/>
        <family val="1"/>
        <charset val="2"/>
      </rPr>
      <t xml:space="preserve"> 140</t>
    </r>
    <r>
      <rPr>
        <b/>
        <sz val="11"/>
        <rFont val="Times New Roman"/>
        <family val="1"/>
      </rPr>
      <t>N/mm</t>
    </r>
    <r>
      <rPr>
        <b/>
        <sz val="11"/>
        <rFont val="Symbol"/>
        <family val="1"/>
        <charset val="2"/>
      </rPr>
      <t>2</t>
    </r>
    <r>
      <rPr>
        <b/>
        <sz val="14"/>
        <rFont val="Symbol"/>
        <family val="1"/>
        <charset val="2"/>
      </rPr>
      <t xml:space="preserve">w </t>
    </r>
    <r>
      <rPr>
        <b/>
        <sz val="11"/>
        <rFont val="Times New Roman"/>
        <family val="1"/>
      </rPr>
      <t xml:space="preserve">برای فولاد با استحکام کششی </t>
    </r>
    <r>
      <rPr>
        <b/>
        <sz val="11"/>
        <rFont val="Symbol"/>
        <family val="1"/>
        <charset val="2"/>
      </rPr>
      <t>370</t>
    </r>
    <r>
      <rPr>
        <b/>
        <sz val="11"/>
        <rFont val="Times New Roman"/>
        <family val="1"/>
      </rPr>
      <t>N/mm</t>
    </r>
    <r>
      <rPr>
        <b/>
        <sz val="12"/>
        <rFont val="Times New Roman"/>
        <family val="1"/>
      </rPr>
      <t>2</t>
    </r>
    <r>
      <rPr>
        <b/>
        <sz val="11"/>
        <rFont val="Times New Roman"/>
        <family val="1"/>
      </rPr>
      <t xml:space="preserve"> </t>
    </r>
  </si>
  <si>
    <t>l</t>
  </si>
  <si>
    <r>
      <t>جدول ضریب کمانش</t>
    </r>
    <r>
      <rPr>
        <b/>
        <sz val="11"/>
        <rFont val="Symbol"/>
        <family val="1"/>
        <charset val="2"/>
      </rPr>
      <t xml:space="preserve"> 210</t>
    </r>
    <r>
      <rPr>
        <b/>
        <sz val="11"/>
        <rFont val="Times New Roman"/>
        <family val="1"/>
      </rPr>
      <t>N/mm</t>
    </r>
    <r>
      <rPr>
        <b/>
        <sz val="11"/>
        <rFont val="Symbol"/>
        <family val="1"/>
        <charset val="2"/>
      </rPr>
      <t>2</t>
    </r>
    <r>
      <rPr>
        <b/>
        <sz val="14"/>
        <rFont val="Symbol"/>
        <family val="1"/>
        <charset val="2"/>
      </rPr>
      <t xml:space="preserve">w </t>
    </r>
    <r>
      <rPr>
        <b/>
        <sz val="11"/>
        <rFont val="Times New Roman"/>
        <family val="1"/>
      </rPr>
      <t xml:space="preserve">برای فولاد با استحکام کششی </t>
    </r>
    <r>
      <rPr>
        <b/>
        <sz val="11"/>
        <rFont val="Symbol"/>
        <family val="1"/>
        <charset val="2"/>
      </rPr>
      <t>520</t>
    </r>
    <r>
      <rPr>
        <b/>
        <sz val="11"/>
        <rFont val="Times New Roman"/>
        <family val="1"/>
      </rPr>
      <t>N/mm</t>
    </r>
    <r>
      <rPr>
        <b/>
        <sz val="12"/>
        <rFont val="Times New Roman"/>
        <family val="1"/>
      </rPr>
      <t>2</t>
    </r>
    <r>
      <rPr>
        <b/>
        <sz val="11"/>
        <rFont val="Times New Roman"/>
        <family val="1"/>
      </rPr>
      <t xml:space="preserve"> </t>
    </r>
  </si>
  <si>
    <t>Kg</t>
  </si>
  <si>
    <t>mm</t>
  </si>
  <si>
    <t>m</t>
  </si>
  <si>
    <t>N/mm2</t>
  </si>
  <si>
    <t>cm</t>
  </si>
  <si>
    <t>Degree</t>
  </si>
  <si>
    <t>m/s2</t>
  </si>
  <si>
    <t>mm2</t>
  </si>
  <si>
    <t>Kw</t>
  </si>
  <si>
    <t>m/s</t>
  </si>
  <si>
    <t>N</t>
  </si>
  <si>
    <t>محاسبه ضريب اطمينان</t>
  </si>
  <si>
    <t>S=n*Mr*Hr=</t>
  </si>
  <si>
    <t>f=[4*μ*(1-Sin(β/2))]/(П-β-Sin(β))=</t>
  </si>
  <si>
    <t>F=[(Q+P)/i+S)/n]*g=</t>
  </si>
  <si>
    <t>S.f=N/F=</t>
  </si>
  <si>
    <t>Z=(P+Q/2)=</t>
  </si>
  <si>
    <t>e^(f*α) =</t>
  </si>
  <si>
    <t>C1=</t>
  </si>
  <si>
    <t>C2=</t>
  </si>
  <si>
    <t>T2=Z*g/n=</t>
  </si>
  <si>
    <t>(T1/T2)*C1*C2=</t>
  </si>
  <si>
    <t xml:space="preserve">e^(f*α) </t>
  </si>
  <si>
    <t>T1=[(Z/i)+S]*g/n=</t>
  </si>
  <si>
    <t>T1=[(1.25*Q+P)/i+S]*g/n=</t>
  </si>
  <si>
    <t>T2=(P/i)*g/n=</t>
  </si>
  <si>
    <t>P=8*F*COS(β /2)/[Dd*(П-β-Sin(β)]=</t>
  </si>
  <si>
    <t>Pmax=(12.5+4*V)/(1+V)=</t>
  </si>
  <si>
    <t>P</t>
  </si>
  <si>
    <t>Pmax</t>
  </si>
  <si>
    <t>λ=Lk/r=</t>
  </si>
  <si>
    <t>ω=</t>
  </si>
  <si>
    <t>σ</t>
  </si>
  <si>
    <t>Cs=(P+Q+Z)/i+S1+S=</t>
  </si>
  <si>
    <t>q=[(P+Q-Z)/i+S1+S/i]/η=</t>
  </si>
  <si>
    <t>W=(q*V*g)/[η(m)η(g)]=</t>
  </si>
  <si>
    <t>W</t>
  </si>
  <si>
    <t>N=40(P+Q)=</t>
  </si>
  <si>
    <t>N=40*Z=</t>
  </si>
  <si>
    <t>F1=(P+Q+S+S1+2*Z+M(gb)*g=</t>
  </si>
  <si>
    <t>N=</t>
  </si>
  <si>
    <t>محاسبه نيروي کشش</t>
  </si>
  <si>
    <t>جرم وزنه تعادل</t>
  </si>
  <si>
    <t>حالت دوم : کابين بدون بار در بالاترين طبقه متوقف است.</t>
  </si>
  <si>
    <t>محاسبه فشار مخصوص</t>
  </si>
  <si>
    <t>محاسبه نيرو تنش در ريل</t>
  </si>
  <si>
    <t>تنش کمانش در ريل</t>
  </si>
  <si>
    <t>ضريب کمانش با استفاده از جدول</t>
  </si>
  <si>
    <t>ضريب لاغري</t>
  </si>
  <si>
    <t>بار استاتيکي وارد بر محور گيربکس</t>
  </si>
  <si>
    <t>توان مورد نياز موتور</t>
  </si>
  <si>
    <t>محاسبه نيروهاي وارد بر کف و سقف چاه</t>
  </si>
  <si>
    <t>نيروي وارده بر تکيه گاه زير ضربه گير کابين</t>
  </si>
  <si>
    <t>نيروي وارده بر تکيه گاه زير ضربه گير وزنه</t>
  </si>
  <si>
    <t>نيروي وارد بر سقف چاه (فنداسيون زير موتور)</t>
  </si>
  <si>
    <t>وزن سيم بکسل معلق</t>
  </si>
  <si>
    <t>ضريب اطمينان طنابهاي فولادي</t>
  </si>
  <si>
    <t xml:space="preserve">حالت اول: کابين با باري معادل 125% بار نامي در پايين ترين طبقه متوقف است. </t>
  </si>
  <si>
    <t>نيروي کششي وارد بر هر طناب فولادي</t>
  </si>
  <si>
    <t>ظرفيت کابين</t>
  </si>
  <si>
    <t>تعداد توقف آسانسور</t>
  </si>
  <si>
    <t>وزن کابين</t>
  </si>
  <si>
    <t>ضريب تبديل بکسل بندي</t>
  </si>
  <si>
    <t>تعداد طنابهاي فولادي</t>
  </si>
  <si>
    <t>قطر طناب فولادي</t>
  </si>
  <si>
    <t>طول معلق طناب فولادي</t>
  </si>
  <si>
    <t>حداقل نيروي گسستگي طناب فولادي</t>
  </si>
  <si>
    <t>وزن هر متر طناب فولادي</t>
  </si>
  <si>
    <t>راندمان فلکه هرزگرد</t>
  </si>
  <si>
    <t>زاويه زير برش شيار فلکه رانش</t>
  </si>
  <si>
    <t>وزن زنجير جبران</t>
  </si>
  <si>
    <t>نوع ريل کابين</t>
  </si>
  <si>
    <t>مساحت سطح مقطع ريل کابين</t>
  </si>
  <si>
    <t>شعاع ژيراسيون</t>
  </si>
  <si>
    <t>طول ريل يک طرف کابين</t>
  </si>
  <si>
    <t>شتاب ثقل زمين</t>
  </si>
  <si>
    <t>ضريب اصطکاک</t>
  </si>
  <si>
    <t>قطر فلکه رانش</t>
  </si>
  <si>
    <t>بازده الکتروموتور</t>
  </si>
  <si>
    <t>بازده گيربکس</t>
  </si>
  <si>
    <t>وزن سيستم محرکه و متعلقات</t>
  </si>
  <si>
    <t>توقف</t>
  </si>
  <si>
    <t>Q =</t>
  </si>
  <si>
    <t>P =</t>
  </si>
  <si>
    <t>n =</t>
  </si>
  <si>
    <t>d =</t>
  </si>
  <si>
    <t>Hr =</t>
  </si>
  <si>
    <t>N =</t>
  </si>
  <si>
    <t>Mr =</t>
  </si>
  <si>
    <t>D =</t>
  </si>
  <si>
    <t>α =</t>
  </si>
  <si>
    <t>β =</t>
  </si>
  <si>
    <t>S1 =</t>
  </si>
  <si>
    <t>a =</t>
  </si>
  <si>
    <t>A =</t>
  </si>
  <si>
    <t>r =</t>
  </si>
  <si>
    <t>μ =</t>
  </si>
  <si>
    <t>g =</t>
  </si>
  <si>
    <t>L =</t>
  </si>
  <si>
    <t>q(l) =</t>
  </si>
  <si>
    <t>σ =</t>
  </si>
  <si>
    <t>η =</t>
  </si>
  <si>
    <t>η(m) =</t>
  </si>
  <si>
    <t>η(g) =</t>
  </si>
  <si>
    <t>M(gb) =</t>
  </si>
  <si>
    <t>V =</t>
  </si>
  <si>
    <t>نيروي وارد بر کف چاهک در زير ريلهاي کابين</t>
  </si>
  <si>
    <t>نوع ترمز ايمني(پاراشوت)</t>
  </si>
  <si>
    <t>%</t>
  </si>
  <si>
    <t xml:space="preserve"> زير برش </t>
  </si>
  <si>
    <t>(T1/T2)*C1*C2</t>
  </si>
  <si>
    <t>S.f</t>
  </si>
  <si>
    <t>حداکثر فشار مخصوص مجاز</t>
  </si>
  <si>
    <t>فشار مخصوص طنابهاي فولادي</t>
  </si>
  <si>
    <t>وزن هر متر ريل کابين</t>
  </si>
  <si>
    <t>استحکام کششي ريل</t>
  </si>
  <si>
    <t>i =</t>
  </si>
  <si>
    <t>نوع گيربکس</t>
  </si>
  <si>
    <t>نوع الکتروموتور</t>
  </si>
  <si>
    <r>
      <t>σ=[a*(P+Q)*ω]/</t>
    </r>
    <r>
      <rPr>
        <sz val="11"/>
        <rFont val="Traffic"/>
        <charset val="178"/>
      </rPr>
      <t>A</t>
    </r>
    <r>
      <rPr>
        <sz val="11"/>
        <rFont val="Times New Roman"/>
        <family val="1"/>
      </rPr>
      <t>=</t>
    </r>
  </si>
  <si>
    <t>ظرفيت کابين (برمبناي وزن)</t>
  </si>
  <si>
    <t>وزن قابل تحمل توسط قلاب سقف موتورخانه</t>
  </si>
  <si>
    <t>F=a*q(l)*L+a(P+Q)=</t>
  </si>
  <si>
    <t>Lapuleggia</t>
  </si>
  <si>
    <t>Elecomp</t>
  </si>
  <si>
    <t>Montanari</t>
  </si>
  <si>
    <t>GEM</t>
  </si>
  <si>
    <t>SCHINDLER</t>
  </si>
  <si>
    <t>NOUVA MGT</t>
  </si>
  <si>
    <t>MOTOR LIFT</t>
  </si>
  <si>
    <t>EMK</t>
  </si>
  <si>
    <t>ZIEHL ABEGG</t>
  </si>
  <si>
    <t>ARK</t>
  </si>
  <si>
    <t>Torin</t>
  </si>
  <si>
    <t>Elemol</t>
  </si>
  <si>
    <t>Alberto Sassi</t>
  </si>
  <si>
    <t>بالانس</t>
  </si>
  <si>
    <t>درصد</t>
  </si>
  <si>
    <t>حداکثر فاصله بين 2 براکت عمودي</t>
  </si>
  <si>
    <t>زوايه پيچش طنابهاي فولادي</t>
  </si>
  <si>
    <t>محاسبات موتور و گيربکس</t>
  </si>
  <si>
    <t>بار غير متعادل</t>
  </si>
  <si>
    <t>L(k) =</t>
  </si>
  <si>
    <r>
      <t xml:space="preserve">sin </t>
    </r>
    <r>
      <rPr>
        <sz val="12"/>
        <rFont val="Arial"/>
        <family val="2"/>
      </rPr>
      <t>ө</t>
    </r>
    <r>
      <rPr>
        <sz val="12"/>
        <rFont val="Traffic"/>
        <charset val="178"/>
      </rPr>
      <t>=</t>
    </r>
  </si>
  <si>
    <t>ө=</t>
  </si>
  <si>
    <t>l=</t>
  </si>
  <si>
    <t>Rs=</t>
  </si>
  <si>
    <t>Rp=</t>
  </si>
  <si>
    <t>درجه</t>
  </si>
  <si>
    <t>kw</t>
  </si>
  <si>
    <t>kg</t>
  </si>
  <si>
    <t>مشخصات کابين</t>
  </si>
  <si>
    <t>مشخصات سيستم تعليق</t>
  </si>
  <si>
    <t>مشخصات ريلهاي کابين</t>
  </si>
  <si>
    <t>مشخصات موتور و گيربکس</t>
  </si>
  <si>
    <t>(فاصله بکسلهاي کابين و وزنه)      L=</t>
  </si>
  <si>
    <t>فاصله عمودي مراکز فلکه ها)      h=</t>
  </si>
  <si>
    <t>کاربری:</t>
  </si>
  <si>
    <t xml:space="preserve">  ظرفیت:</t>
  </si>
  <si>
    <t xml:space="preserve">  طول حرکت:</t>
  </si>
  <si>
    <t>کاربري</t>
  </si>
  <si>
    <t>طول حرکت</t>
  </si>
  <si>
    <t>سرعت کند</t>
  </si>
  <si>
    <t xml:space="preserve">سرعت تند ( نامی ) </t>
  </si>
  <si>
    <t>آدرس محل نصب</t>
  </si>
  <si>
    <t>پلاک ثبتی</t>
  </si>
  <si>
    <t>فرم مشخصات فنی آسانسورهاي
برقی
صفحه 1 از 2</t>
  </si>
  <si>
    <t>نوع درب:</t>
  </si>
  <si>
    <t>پهناي درب:</t>
  </si>
  <si>
    <t xml:space="preserve"> ارتفاع مفید درب:</t>
  </si>
  <si>
    <t>قفل مکانیکی درب:</t>
  </si>
  <si>
    <t>نام تولید کننده:</t>
  </si>
  <si>
    <t>علامت تجاري:</t>
  </si>
  <si>
    <t>شماره هاي سریال قفل هاي مکانیکی درب:</t>
  </si>
  <si>
    <t>شماره سریال:</t>
  </si>
  <si>
    <t>سرعت عملکرد مکانیکی:</t>
  </si>
  <si>
    <t>A</t>
  </si>
  <si>
    <t>سرعت دورتندموتور:</t>
  </si>
  <si>
    <t>rpm</t>
  </si>
  <si>
    <t>نوع</t>
  </si>
  <si>
    <t>ظرفیت</t>
  </si>
  <si>
    <t>نوع پاراشوت:</t>
  </si>
  <si>
    <t>سرعت کند:</t>
  </si>
  <si>
    <t>سرعت درگیری:</t>
  </si>
  <si>
    <t xml:space="preserve">شماره سریال: </t>
  </si>
  <si>
    <t>موقعیت نصب در کابین:</t>
  </si>
  <si>
    <t xml:space="preserve">ظرفیت (P+Q): </t>
  </si>
  <si>
    <t>5-ضربه گیرهاي ته چاه:</t>
  </si>
  <si>
    <t>4-ترمز ایمنی (پاراشوت):</t>
  </si>
  <si>
    <t>3-گاورنرسرعت :</t>
  </si>
  <si>
    <t>2-درب طبقات:</t>
  </si>
  <si>
    <t>1-مشخصات آسانسور:</t>
  </si>
  <si>
    <t>نام تولید کننده یا علامت تجاری:</t>
  </si>
  <si>
    <t>تعداد</t>
  </si>
  <si>
    <t>ضربه گیر وزنه</t>
  </si>
  <si>
    <t>ضربه گیر کابین</t>
  </si>
  <si>
    <t>6-سیستم محرکه :</t>
  </si>
  <si>
    <t>تولیدکننده موتور/گیربکس (درصورت وجود):</t>
  </si>
  <si>
    <t>نوع :</t>
  </si>
  <si>
    <t>استارت در ساعت:</t>
  </si>
  <si>
    <t>توان نامی:</t>
  </si>
  <si>
    <t>ولتاژ نامی:</t>
  </si>
  <si>
    <t>جریان نامی:</t>
  </si>
  <si>
    <t>سرعت دور کند موتور:</t>
  </si>
  <si>
    <t>نوع گیربکس (در صورت وجود):</t>
  </si>
  <si>
    <t>سازنده گیربکس
(در صورت وجود)
:</t>
  </si>
  <si>
    <t>نسبت تبدیل گیربکس (در  صورت وجود):</t>
  </si>
  <si>
    <t xml:space="preserve"> نوع ترمز:</t>
  </si>
  <si>
    <t>7- کابین(اتاقک):</t>
  </si>
  <si>
    <t>ابعاد</t>
  </si>
  <si>
    <t>عرض:</t>
  </si>
  <si>
    <t>عمق:</t>
  </si>
  <si>
    <t>ارتفاع:</t>
  </si>
  <si>
    <t>نوع درب کابین</t>
  </si>
  <si>
    <t>ارتفاع مفید درب:</t>
  </si>
  <si>
    <t>وزن تقریبی:</t>
  </si>
  <si>
    <t>تعداد:</t>
  </si>
  <si>
    <t>ظرفیت:</t>
  </si>
  <si>
    <t>شماره های سریال:</t>
  </si>
  <si>
    <t>نوع:</t>
  </si>
  <si>
    <t>سازنده گیربکس (در صورت وجود):</t>
  </si>
  <si>
    <t>پهناي مفید درب کابین:</t>
  </si>
  <si>
    <t>شماره پرونده:</t>
  </si>
  <si>
    <t>شماره تجدید نظر:</t>
  </si>
  <si>
    <t>تاریخ تجدید نظر:</t>
  </si>
  <si>
    <t>فرم مشخصات فنی آسانسورهاي
برقی
صفحه 2 از 2</t>
  </si>
  <si>
    <t>قطر:</t>
  </si>
  <si>
    <t>وزن :</t>
  </si>
  <si>
    <t>gr/m</t>
  </si>
  <si>
    <t>8-طنابهاي فولادي:</t>
  </si>
  <si>
    <t>تولید کننده:</t>
  </si>
  <si>
    <t>بافت:</t>
  </si>
  <si>
    <t>9- فلکه ها:</t>
  </si>
  <si>
    <t xml:space="preserve">کشش: </t>
  </si>
  <si>
    <t>جنس :</t>
  </si>
  <si>
    <t>نوع شیار:</t>
  </si>
  <si>
    <t>تعداد شیار:</t>
  </si>
  <si>
    <t xml:space="preserve">زیر برش: </t>
  </si>
  <si>
    <t>(طناب فولادي) زاویه پیچش α=</t>
  </si>
  <si>
    <t>(زاویه شیار)γ=</t>
  </si>
  <si>
    <t>(زاویه زیر برش)β=</t>
  </si>
  <si>
    <t>هرزگرد:</t>
  </si>
  <si>
    <t>جنس:</t>
  </si>
  <si>
    <t>توضیحات (در صورتیکه قطر فلکه ها یکسان نیست):</t>
  </si>
  <si>
    <t>وزنه تعادل:</t>
  </si>
  <si>
    <t>×</t>
  </si>
  <si>
    <t>وزن هرعدد:</t>
  </si>
  <si>
    <t>وزن قاب وزنه :</t>
  </si>
  <si>
    <t>10-وزنه تعادل:</t>
  </si>
  <si>
    <t>ابعاد قاب وزنه (ارتفاع × طول):</t>
  </si>
  <si>
    <t>اندازه ناودانی:</t>
  </si>
  <si>
    <t>تعداد وزنه:</t>
  </si>
  <si>
    <t>ابعاد وزنه:</t>
  </si>
  <si>
    <t>وزن کل (قاب وزنه و وزنه ها):</t>
  </si>
  <si>
    <t>Cm</t>
  </si>
  <si>
    <t>11-ریلهاي راهنما:</t>
  </si>
  <si>
    <t xml:space="preserve"> نوع (روش ساخت): </t>
  </si>
  <si>
    <t>ضخامت تیغهmm</t>
  </si>
  <si>
    <t>اندازه ریل راهنماي کابین mm</t>
  </si>
  <si>
    <t>اندازه ریل راهنماي وزن mm</t>
  </si>
  <si>
    <t>حداکثر فاصله بین تکیه گاههاي ریل (براکت) کابین :</t>
  </si>
  <si>
    <t xml:space="preserve"> نوع :</t>
  </si>
  <si>
    <t>کابین :</t>
  </si>
  <si>
    <t>سازنده:</t>
  </si>
  <si>
    <t>جنس کفشک :</t>
  </si>
  <si>
    <t>جنس لنت:</t>
  </si>
  <si>
    <t>طول لنت:</t>
  </si>
  <si>
    <t>وزنه:</t>
  </si>
  <si>
    <t>13-سیستم تابلوفرمان :</t>
  </si>
  <si>
    <t>12 -کفشکهاي راهنما:</t>
  </si>
  <si>
    <t>نوع سیستم :</t>
  </si>
  <si>
    <t>نوع تابلو فرمان :</t>
  </si>
  <si>
    <t>14-تراولینگ کابل:</t>
  </si>
  <si>
    <t xml:space="preserve">  تعداد واندازه رشته ها:</t>
  </si>
  <si>
    <t xml:space="preserve"> نوع:</t>
  </si>
  <si>
    <t>مهروامضامجاز</t>
  </si>
  <si>
    <t>شرکت فروشنده آسانسور</t>
  </si>
  <si>
    <t>تاریخ:..................</t>
  </si>
  <si>
    <t xml:space="preserve"> تعداد واندازه رشته ها:</t>
  </si>
  <si>
    <t xml:space="preserve">اندازه ریل راهنماي کابین </t>
  </si>
  <si>
    <t>ضخامت تیغه</t>
  </si>
  <si>
    <t xml:space="preserve">اندازه ریل راهنماي وزن </t>
  </si>
  <si>
    <t>چدن</t>
  </si>
  <si>
    <t>شماره پرونده</t>
  </si>
  <si>
    <t>تعداد توقف:</t>
  </si>
  <si>
    <t>سرعت تند ( نامی ) :</t>
  </si>
  <si>
    <t>آدرس محل نصب:</t>
  </si>
  <si>
    <t>پلاک ثبتی:</t>
  </si>
  <si>
    <t>نوع درب کابین:</t>
  </si>
  <si>
    <t>T5</t>
  </si>
  <si>
    <t>اندازه ریل راهنما کابین</t>
  </si>
  <si>
    <t>اندازه ریل راهنما وزن</t>
  </si>
  <si>
    <t>گواهی خود اظهاری
تاییدیه اجزا آسانسورهای برقی 
صفحه 1 از 2</t>
  </si>
  <si>
    <t>گواهی خود اظهاری
تاییدیه اجزا آسانسورهای برقی 
صفحه2 از 2</t>
  </si>
  <si>
    <t>نام سازنده تابلو فرمان</t>
  </si>
  <si>
    <t>نام سازنده کابین</t>
  </si>
  <si>
    <t>بدینوسیله گواهی می گردد که با توجه به استاندارد ملی آسانسورهاي برقی به شماره 1-6303 و دستورالعمل اجرایی مربوطه</t>
  </si>
  <si>
    <t xml:space="preserve"> به   آدرس:   </t>
  </si>
  <si>
    <t>لحاظ  عملکردي  مبتنی  برموازین  صحیح  فنی  بوده  ومسئولیت  هرگونه  عواقب  ناشی  ازاشکالات  فنی  قطعات  به  
عهده  این شرکت می باشد:</t>
  </si>
  <si>
    <t xml:space="preserve">داراي کیفیت مطلوب بوده وقطعات زیر با جزییات فنی مندرج در فرم مشخصات فنی،  سالم و به </t>
  </si>
  <si>
    <t>و پلاك ثبتی</t>
  </si>
  <si>
    <t xml:space="preserve">   </t>
  </si>
  <si>
    <t xml:space="preserve">
همچنین این شرکت  موارد ذیل را متعهد می گردد :
* کلیه سیم کشی ها )به استثناي تابلو فرمان( مطابق بند 13-5-1انجام شده است.
* شرایط وسایل ایمنی برقی مطابق بند 14-1-2رعایت شده 
* فواصل ایمنی الکتریکی مطابق 13-2-2-3 و درجه حفاظت IP2X در موتورخانه مطابق بند 13-1-2رعایت شده است.
* منبع برق اضطراري مطابق بند 8-17-4تامین شده است.
* شرایط بازشوي درب کابین در هنگام بازکردن اضطراري مطابق بند 8-11 تامین می باشد.
* طراحی درب کابین و لته هاي آن مطابق بندهاي 8-7 و 8-10 و 8-11 انجام شده است.
* سرعت و انرژي جنبشی درهاي طبقات مطابق بند 7-5-2 می باشد.
* طراحی و اجراي دربها و چهارچوبها و ریلهاي هادي آنها مطابق بندهاي 7-2و 7-4 و 10-2-2 انجام شده است.
* طراحی و اجراي شاسی زیر سیستم محرکه مطابق با محاسبات و اصول فنی انجام شده است.
* سیستم ارت آسانسور به چاه ارت ساختمان با مقدار مقاومت مناسب متصل شده است.
* کلیه جوشکاریهاي سازه آسانسور و قطعات متصله مطابق اصول فنی و مهندسی انجام شده و از مقاومت کافی برخوردار است.
* طراحی ، انتخاب ، نصب و اجراي کلیه اتصالات جداشدنی ) نظیر پیچ و مهره ( مطابق با اصول فنی و مهندسی انجام شده است.
طراحی سیستم تعلیق و نیروهاي وارده طبق اصول فنی و مهندسی و بند 9-2-3 می باشد.
* در راستاي اجراي بند 9-8-6-1 از فک هاي ترمز ایمنی به عنوان کفشک هاي راهنما استفاده نشده است. 
* محدوده سرعت کابین مطابق با بند 12-6 رعایت شده است.
</t>
  </si>
  <si>
    <t xml:space="preserve">                                 شرکت فروشنده آسانسور
                                 تاریخ
                                مهر و امضا مجاز شرکت</t>
  </si>
  <si>
    <t xml:space="preserve"> به   شماره  41/131/د  کلیه   اجزاء و   قسمتهاي   مربوط به آسانسور</t>
  </si>
  <si>
    <t xml:space="preserve">     *  فلکه هاي کشش و هرزگرد</t>
  </si>
  <si>
    <t xml:space="preserve">     * ریل هاي راهنما و متعلقات آن</t>
  </si>
  <si>
    <t xml:space="preserve">     * گاورنر</t>
  </si>
  <si>
    <t xml:space="preserve">      * ترمزایمنی</t>
  </si>
  <si>
    <t xml:space="preserve">       * طنابهاي فولادي وسیستم تعلیق </t>
  </si>
  <si>
    <t xml:space="preserve">       * کابل تراولینگ</t>
  </si>
  <si>
    <t xml:space="preserve">       * تابلو فرمان </t>
  </si>
  <si>
    <t xml:space="preserve">      * قاب وزنه، وزنه ها ومتعلقات آن </t>
  </si>
  <si>
    <t xml:space="preserve">     * قفل درب ها</t>
  </si>
  <si>
    <t xml:space="preserve">     * کابین و یوك آن</t>
  </si>
  <si>
    <t xml:space="preserve">      * ضربه گیرها</t>
  </si>
  <si>
    <t xml:space="preserve">     * سیستم محرکه</t>
  </si>
  <si>
    <t>کابین : نوع :</t>
  </si>
  <si>
    <t>نام شرکت بازرسی</t>
  </si>
  <si>
    <t>شماره های سریال ضربه گیر کابین</t>
  </si>
  <si>
    <t>شماره های سریال ضربه گیر وزنه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</si>
</sst>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000]0"/>
  </numFmts>
  <fonts count="54">
    <font>
      <sz val="10"/>
      <name val="Arial"/>
    </font>
    <font>
      <sz val="8"/>
      <name val="Arial"/>
      <family val="2"/>
    </font>
    <font>
      <b/>
      <sz val="10"/>
      <name val="Nazanin"/>
      <charset val="178"/>
    </font>
    <font>
      <sz val="10"/>
      <name val="Nazanin"/>
      <charset val="178"/>
    </font>
    <font>
      <sz val="12"/>
      <name val="Traffic"/>
      <charset val="178"/>
    </font>
    <font>
      <b/>
      <sz val="12"/>
      <name val="Traffic"/>
      <charset val="178"/>
    </font>
    <font>
      <sz val="10"/>
      <name val="Traffic"/>
      <charset val="178"/>
    </font>
    <font>
      <sz val="16"/>
      <name val="Traffic"/>
      <charset val="178"/>
    </font>
    <font>
      <b/>
      <sz val="10"/>
      <name val="Traffic"/>
      <charset val="178"/>
    </font>
    <font>
      <b/>
      <sz val="11"/>
      <name val="Times New Roman"/>
      <family val="1"/>
    </font>
    <font>
      <b/>
      <sz val="11"/>
      <name val="Symbol"/>
      <family val="1"/>
      <charset val="2"/>
    </font>
    <font>
      <b/>
      <sz val="14"/>
      <name val="Symbol"/>
      <family val="1"/>
      <charset val="2"/>
    </font>
    <font>
      <b/>
      <sz val="12"/>
      <name val="Times New Roman"/>
      <family val="1"/>
    </font>
    <font>
      <b/>
      <sz val="12"/>
      <name val="Nazanin"/>
      <charset val="178"/>
    </font>
    <font>
      <sz val="13"/>
      <name val="Nazanin"/>
      <charset val="178"/>
    </font>
    <font>
      <sz val="10"/>
      <name val="Times New Roman"/>
      <family val="1"/>
    </font>
    <font>
      <sz val="11"/>
      <name val="Nazanin"/>
      <charset val="178"/>
    </font>
    <font>
      <b/>
      <sz val="11"/>
      <name val="Nazanin"/>
      <charset val="178"/>
    </font>
    <font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name val="Traffic"/>
      <charset val="178"/>
    </font>
    <font>
      <b/>
      <sz val="14"/>
      <name val="Zar"/>
      <charset val="178"/>
    </font>
    <font>
      <b/>
      <sz val="11"/>
      <name val="Zar"/>
      <charset val="178"/>
    </font>
    <font>
      <sz val="14"/>
      <name val="Times New Roman"/>
      <family val="1"/>
    </font>
    <font>
      <b/>
      <sz val="12"/>
      <name val="Zar"/>
      <charset val="178"/>
    </font>
    <font>
      <b/>
      <sz val="14"/>
      <name val="Times New Roman"/>
      <family val="1"/>
    </font>
    <font>
      <b/>
      <sz val="12"/>
      <name val="Arial"/>
      <family val="2"/>
    </font>
    <font>
      <b/>
      <sz val="8"/>
      <name val="Zar"/>
      <charset val="178"/>
    </font>
    <font>
      <b/>
      <sz val="11"/>
      <name val="Arial"/>
      <family val="2"/>
    </font>
    <font>
      <sz val="12"/>
      <color indexed="12"/>
      <name val="Traffic"/>
      <charset val="178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B Nazanin"/>
      <charset val="178"/>
    </font>
    <font>
      <b/>
      <sz val="11"/>
      <name val="B Nazanin"/>
      <charset val="178"/>
    </font>
    <font>
      <b/>
      <sz val="12"/>
      <name val="B Nazanin"/>
      <charset val="178"/>
    </font>
    <font>
      <sz val="12"/>
      <name val="B Nazanin"/>
      <charset val="178"/>
    </font>
    <font>
      <sz val="14"/>
      <name val="B Nazanin"/>
      <charset val="178"/>
    </font>
    <font>
      <b/>
      <sz val="14"/>
      <name val="B Nazanin"/>
      <charset val="178"/>
    </font>
    <font>
      <sz val="15"/>
      <name val="Arial"/>
      <family val="2"/>
    </font>
    <font>
      <b/>
      <sz val="15"/>
      <name val="Arial"/>
      <family val="2"/>
    </font>
    <font>
      <b/>
      <sz val="15"/>
      <name val="B Nazanin"/>
      <charset val="178"/>
    </font>
    <font>
      <b/>
      <sz val="16"/>
      <name val="B Nazanin"/>
      <charset val="178"/>
    </font>
    <font>
      <b/>
      <sz val="18"/>
      <name val="B Nazanin"/>
      <charset val="178"/>
    </font>
    <font>
      <sz val="8"/>
      <color rgb="FF000000"/>
      <name val="Segoe UI"/>
      <family val="2"/>
    </font>
    <font>
      <b/>
      <sz val="9"/>
      <name val="B Nazanin"/>
      <charset val="178"/>
    </font>
    <font>
      <sz val="9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1"/>
      </right>
      <top style="medium">
        <color indexed="10"/>
      </top>
      <bottom style="medium">
        <color indexed="11"/>
      </bottom>
      <diagonal/>
    </border>
    <border>
      <left/>
      <right/>
      <top style="medium">
        <color indexed="10"/>
      </top>
      <bottom style="medium">
        <color indexed="11"/>
      </bottom>
      <diagonal/>
    </border>
    <border>
      <left style="thin">
        <color indexed="8"/>
      </left>
      <right style="thin">
        <color indexed="8"/>
      </right>
      <top style="medium">
        <color indexed="10"/>
      </top>
      <bottom style="medium">
        <color indexed="11"/>
      </bottom>
      <diagonal/>
    </border>
    <border>
      <left style="thin">
        <color indexed="8"/>
      </left>
      <right style="medium">
        <color indexed="12"/>
      </right>
      <top style="medium">
        <color indexed="10"/>
      </top>
      <bottom style="medium">
        <color indexed="11"/>
      </bottom>
      <diagonal/>
    </border>
    <border>
      <left/>
      <right style="thin">
        <color indexed="8"/>
      </right>
      <top style="medium">
        <color indexed="10"/>
      </top>
      <bottom style="medium">
        <color indexed="11"/>
      </bottom>
      <diagonal/>
    </border>
    <border>
      <left style="thin">
        <color indexed="8"/>
      </left>
      <right style="medium">
        <color indexed="10"/>
      </right>
      <top style="medium">
        <color indexed="10"/>
      </top>
      <bottom style="medium">
        <color indexed="11"/>
      </bottom>
      <diagonal/>
    </border>
    <border>
      <left style="medium">
        <color indexed="10"/>
      </left>
      <right style="medium">
        <color indexed="1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12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10"/>
      </right>
      <top/>
      <bottom/>
      <diagonal/>
    </border>
    <border>
      <left style="medium">
        <color indexed="10"/>
      </left>
      <right style="medium">
        <color indexed="11"/>
      </right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 style="thin">
        <color indexed="8"/>
      </left>
      <right style="thin">
        <color indexed="8"/>
      </right>
      <top style="medium">
        <color indexed="10"/>
      </top>
      <bottom/>
      <diagonal/>
    </border>
    <border>
      <left style="thin">
        <color indexed="8"/>
      </left>
      <right style="medium">
        <color indexed="12"/>
      </right>
      <top style="medium">
        <color indexed="10"/>
      </top>
      <bottom/>
      <diagonal/>
    </border>
    <border>
      <left/>
      <right style="thin">
        <color indexed="8"/>
      </right>
      <top style="medium">
        <color indexed="10"/>
      </top>
      <bottom/>
      <diagonal/>
    </border>
    <border>
      <left style="thin">
        <color indexed="8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1"/>
      </right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thin">
        <color indexed="8"/>
      </left>
      <right style="thin">
        <color indexed="8"/>
      </right>
      <top/>
      <bottom style="medium">
        <color indexed="10"/>
      </bottom>
      <diagonal/>
    </border>
    <border>
      <left style="thin">
        <color indexed="8"/>
      </left>
      <right style="medium">
        <color indexed="12"/>
      </right>
      <top/>
      <bottom style="medium">
        <color indexed="10"/>
      </bottom>
      <diagonal/>
    </border>
    <border>
      <left/>
      <right style="thin">
        <color indexed="8"/>
      </right>
      <top/>
      <bottom style="medium">
        <color indexed="10"/>
      </bottom>
      <diagonal/>
    </border>
    <border>
      <left style="thin">
        <color indexed="8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1"/>
      </right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10"/>
      </top>
      <bottom style="medium">
        <color indexed="10"/>
      </bottom>
      <diagonal/>
    </border>
    <border>
      <left style="thin">
        <color indexed="8"/>
      </left>
      <right style="medium">
        <color indexed="12"/>
      </right>
      <top style="medium">
        <color indexed="10"/>
      </top>
      <bottom style="medium">
        <color indexed="10"/>
      </bottom>
      <diagonal/>
    </border>
    <border>
      <left/>
      <right style="thin">
        <color indexed="8"/>
      </right>
      <top style="medium">
        <color indexed="10"/>
      </top>
      <bottom style="medium">
        <color indexed="10"/>
      </bottom>
      <diagonal/>
    </border>
    <border>
      <left style="thin">
        <color indexed="8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1"/>
      </left>
      <right/>
      <top style="medium">
        <color indexed="10"/>
      </top>
      <bottom style="medium">
        <color indexed="11"/>
      </bottom>
      <diagonal/>
    </border>
    <border>
      <left style="thin">
        <color indexed="8"/>
      </left>
      <right style="medium">
        <color indexed="12"/>
      </right>
      <top style="medium">
        <color indexed="1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medium">
        <color indexed="64"/>
      </bottom>
      <diagonal/>
    </border>
  </borders>
  <cellStyleXfs count="1">
    <xf numFmtId="0" fontId="0" fillId="0" borderId="0"/>
  </cellStyleXfs>
  <cellXfs count="39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2" fontId="9" fillId="0" borderId="30" xfId="0" applyNumberFormat="1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/>
    </xf>
    <xf numFmtId="2" fontId="9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2" fontId="9" fillId="0" borderId="36" xfId="0" applyNumberFormat="1" applyFont="1" applyBorder="1" applyAlignment="1">
      <alignment horizontal="center" vertical="center"/>
    </xf>
    <xf numFmtId="0" fontId="14" fillId="0" borderId="0" xfId="0" applyFont="1" applyFill="1" applyBorder="1" applyAlignment="1"/>
    <xf numFmtId="0" fontId="13" fillId="0" borderId="0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right"/>
    </xf>
    <xf numFmtId="0" fontId="15" fillId="0" borderId="37" xfId="0" applyFont="1" applyFill="1" applyBorder="1" applyAlignment="1">
      <alignment horizontal="right"/>
    </xf>
    <xf numFmtId="0" fontId="15" fillId="0" borderId="38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7" fillId="0" borderId="38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20" fillId="0" borderId="0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20" fillId="0" borderId="38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 vertical="top" wrapText="1"/>
    </xf>
    <xf numFmtId="0" fontId="0" fillId="0" borderId="0" xfId="0" applyBorder="1"/>
    <xf numFmtId="0" fontId="24" fillId="0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28" fillId="0" borderId="0" xfId="0" applyFont="1" applyBorder="1"/>
    <xf numFmtId="0" fontId="12" fillId="0" borderId="0" xfId="0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right"/>
    </xf>
    <xf numFmtId="0" fontId="18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 readingOrder="2"/>
    </xf>
    <xf numFmtId="0" fontId="27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textRotation="90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quotePrefix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textRotation="90" wrapText="1"/>
    </xf>
    <xf numFmtId="0" fontId="20" fillId="0" borderId="0" xfId="0" applyFont="1" applyFill="1" applyBorder="1" applyAlignment="1">
      <alignment horizontal="left"/>
    </xf>
    <xf numFmtId="0" fontId="19" fillId="2" borderId="38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22" fillId="0" borderId="39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0" fillId="0" borderId="37" xfId="0" applyFont="1" applyFill="1" applyBorder="1" applyAlignment="1">
      <alignment horizontal="right"/>
    </xf>
    <xf numFmtId="0" fontId="22" fillId="0" borderId="37" xfId="0" applyFont="1" applyFill="1" applyBorder="1" applyAlignment="1">
      <alignment horizontal="right"/>
    </xf>
    <xf numFmtId="0" fontId="26" fillId="0" borderId="0" xfId="0" applyFont="1" applyBorder="1" applyAlignment="1">
      <alignment horizontal="center" vertical="top" textRotation="90" wrapText="1"/>
    </xf>
    <xf numFmtId="14" fontId="12" fillId="0" borderId="39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right"/>
    </xf>
    <xf numFmtId="0" fontId="6" fillId="0" borderId="42" xfId="0" applyFont="1" applyBorder="1" applyAlignment="1">
      <alignment horizontal="center"/>
    </xf>
    <xf numFmtId="0" fontId="12" fillId="0" borderId="42" xfId="0" applyFont="1" applyFill="1" applyBorder="1" applyAlignment="1">
      <alignment horizontal="right"/>
    </xf>
    <xf numFmtId="0" fontId="12" fillId="0" borderId="43" xfId="0" applyFont="1" applyFill="1" applyBorder="1" applyAlignment="1">
      <alignment horizontal="right"/>
    </xf>
    <xf numFmtId="0" fontId="20" fillId="0" borderId="44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26" fillId="0" borderId="0" xfId="0" applyFont="1" applyBorder="1" applyAlignment="1">
      <alignment horizontal="center" vertical="center" textRotation="90" wrapText="1"/>
    </xf>
    <xf numFmtId="0" fontId="20" fillId="0" borderId="44" xfId="0" applyFont="1" applyBorder="1" applyAlignment="1">
      <alignment horizontal="center"/>
    </xf>
    <xf numFmtId="0" fontId="12" fillId="0" borderId="40" xfId="0" applyFont="1" applyFill="1" applyBorder="1" applyAlignment="1">
      <alignment horizontal="right"/>
    </xf>
    <xf numFmtId="0" fontId="15" fillId="0" borderId="41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>
      <alignment horizontal="left"/>
    </xf>
    <xf numFmtId="0" fontId="20" fillId="0" borderId="44" xfId="0" applyFont="1" applyFill="1" applyBorder="1" applyAlignment="1" applyProtection="1">
      <alignment horizontal="center"/>
    </xf>
    <xf numFmtId="164" fontId="12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20" fillId="4" borderId="0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right"/>
    </xf>
    <xf numFmtId="0" fontId="17" fillId="0" borderId="4" xfId="0" applyFont="1" applyFill="1" applyBorder="1" applyAlignment="1">
      <alignment horizontal="right"/>
    </xf>
    <xf numFmtId="0" fontId="31" fillId="0" borderId="0" xfId="0" applyFont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17" fillId="0" borderId="46" xfId="0" applyFont="1" applyFill="1" applyBorder="1" applyAlignment="1">
      <alignment horizontal="right"/>
    </xf>
    <xf numFmtId="0" fontId="17" fillId="0" borderId="47" xfId="0" applyFont="1" applyFill="1" applyBorder="1" applyAlignment="1">
      <alignment horizontal="right"/>
    </xf>
    <xf numFmtId="0" fontId="17" fillId="0" borderId="48" xfId="0" applyFont="1" applyFill="1" applyBorder="1" applyAlignment="1">
      <alignment horizontal="right"/>
    </xf>
    <xf numFmtId="0" fontId="34" fillId="0" borderId="0" xfId="0" applyFont="1"/>
    <xf numFmtId="0" fontId="4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34" fillId="0" borderId="0" xfId="0" applyFont="1" applyBorder="1"/>
    <xf numFmtId="0" fontId="0" fillId="0" borderId="0" xfId="0" applyAlignment="1">
      <alignment readingOrder="2"/>
    </xf>
    <xf numFmtId="0" fontId="34" fillId="0" borderId="0" xfId="0" applyFont="1" applyBorder="1" applyAlignment="1">
      <alignment readingOrder="2"/>
    </xf>
    <xf numFmtId="0" fontId="34" fillId="0" borderId="0" xfId="0" applyFont="1" applyBorder="1" applyAlignment="1">
      <alignment horizontal="center" readingOrder="2"/>
    </xf>
    <xf numFmtId="0" fontId="0" fillId="0" borderId="0" xfId="0" applyBorder="1" applyAlignment="1">
      <alignment horizontal="right" vertical="center" readingOrder="2"/>
    </xf>
    <xf numFmtId="0" fontId="33" fillId="0" borderId="0" xfId="0" applyFont="1" applyBorder="1" applyAlignment="1">
      <alignment horizontal="right" vertical="center" readingOrder="2"/>
    </xf>
    <xf numFmtId="0" fontId="35" fillId="0" borderId="0" xfId="0" applyFont="1" applyBorder="1" applyAlignment="1">
      <alignment horizontal="right" vertical="center" wrapText="1" readingOrder="2"/>
    </xf>
    <xf numFmtId="0" fontId="0" fillId="0" borderId="0" xfId="0" applyBorder="1" applyAlignment="1">
      <alignment readingOrder="2"/>
    </xf>
    <xf numFmtId="0" fontId="0" fillId="0" borderId="0" xfId="0" applyBorder="1" applyAlignment="1">
      <alignment horizontal="center" vertical="center" readingOrder="2"/>
    </xf>
    <xf numFmtId="0" fontId="33" fillId="0" borderId="0" xfId="0" applyFont="1" applyBorder="1" applyAlignment="1">
      <alignment vertical="center" readingOrder="2"/>
    </xf>
    <xf numFmtId="0" fontId="0" fillId="0" borderId="0" xfId="0" applyBorder="1" applyAlignment="1">
      <alignment vertical="center" readingOrder="2"/>
    </xf>
    <xf numFmtId="0" fontId="45" fillId="0" borderId="0" xfId="0" applyFont="1" applyBorder="1" applyAlignment="1">
      <alignment vertical="center" readingOrder="2"/>
    </xf>
    <xf numFmtId="0" fontId="44" fillId="0" borderId="0" xfId="0" applyFont="1" applyBorder="1" applyAlignment="1">
      <alignment readingOrder="2"/>
    </xf>
    <xf numFmtId="0" fontId="41" fillId="0" borderId="0" xfId="0" applyFont="1" applyBorder="1" applyAlignment="1">
      <alignment vertical="center" readingOrder="2"/>
    </xf>
    <xf numFmtId="0" fontId="41" fillId="0" borderId="0" xfId="0" applyFont="1" applyBorder="1" applyAlignment="1">
      <alignment horizontal="right" vertical="center" readingOrder="2"/>
    </xf>
    <xf numFmtId="0" fontId="34" fillId="0" borderId="0" xfId="0" applyFont="1" applyBorder="1" applyAlignment="1">
      <alignment horizontal="right" vertical="center" readingOrder="2"/>
    </xf>
    <xf numFmtId="0" fontId="40" fillId="5" borderId="39" xfId="0" applyFont="1" applyFill="1" applyBorder="1" applyAlignment="1">
      <alignment horizontal="right" vertical="center" readingOrder="2"/>
    </xf>
    <xf numFmtId="0" fontId="40" fillId="5" borderId="5" xfId="0" applyFont="1" applyFill="1" applyBorder="1" applyAlignment="1">
      <alignment horizontal="right" vertical="center" readingOrder="2"/>
    </xf>
    <xf numFmtId="0" fontId="40" fillId="5" borderId="1" xfId="0" applyFont="1" applyFill="1" applyBorder="1" applyAlignment="1">
      <alignment horizontal="right" vertical="center" readingOrder="2"/>
    </xf>
    <xf numFmtId="0" fontId="40" fillId="5" borderId="2" xfId="0" applyFont="1" applyFill="1" applyBorder="1" applyAlignment="1">
      <alignment horizontal="right" vertical="center" readingOrder="2"/>
    </xf>
    <xf numFmtId="0" fontId="40" fillId="5" borderId="37" xfId="0" applyFont="1" applyFill="1" applyBorder="1" applyAlignment="1">
      <alignment horizontal="right" vertical="center" readingOrder="2"/>
    </xf>
    <xf numFmtId="0" fontId="40" fillId="5" borderId="3" xfId="0" applyFont="1" applyFill="1" applyBorder="1" applyAlignment="1">
      <alignment horizontal="right" vertical="center" readingOrder="2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vertical="center" readingOrder="2"/>
    </xf>
    <xf numFmtId="0" fontId="43" fillId="0" borderId="0" xfId="0" applyFont="1" applyBorder="1" applyAlignment="1">
      <alignment horizontal="right" vertical="center" readingOrder="2"/>
    </xf>
    <xf numFmtId="0" fontId="43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 readingOrder="2"/>
    </xf>
    <xf numFmtId="0" fontId="0" fillId="0" borderId="0" xfId="0" applyBorder="1" applyAlignment="1">
      <alignment horizontal="right" vertical="center" readingOrder="2"/>
    </xf>
    <xf numFmtId="0" fontId="42" fillId="0" borderId="59" xfId="0" applyFont="1" applyBorder="1" applyAlignment="1">
      <alignment horizontal="right" vertical="center"/>
    </xf>
    <xf numFmtId="0" fontId="42" fillId="0" borderId="59" xfId="0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 wrapText="1" readingOrder="2"/>
    </xf>
    <xf numFmtId="0" fontId="46" fillId="0" borderId="0" xfId="0" applyFont="1" applyBorder="1" applyAlignment="1">
      <alignment horizontal="center" vertical="center" readingOrder="2"/>
    </xf>
    <xf numFmtId="0" fontId="39" fillId="0" borderId="0" xfId="0" applyFont="1" applyBorder="1" applyAlignment="1">
      <alignment horizontal="center" vertical="center" readingOrder="2"/>
    </xf>
    <xf numFmtId="0" fontId="30" fillId="0" borderId="0" xfId="0" applyFont="1" applyBorder="1" applyAlignment="1">
      <alignment horizontal="center" vertical="center" wrapText="1" readingOrder="2"/>
    </xf>
    <xf numFmtId="0" fontId="47" fillId="0" borderId="0" xfId="0" applyFont="1" applyBorder="1" applyAlignment="1">
      <alignment horizontal="center" vertical="center" readingOrder="2"/>
    </xf>
    <xf numFmtId="0" fontId="45" fillId="0" borderId="0" xfId="0" applyFont="1" applyBorder="1" applyAlignment="1">
      <alignment horizontal="center" vertical="center" readingOrder="2"/>
    </xf>
    <xf numFmtId="0" fontId="36" fillId="0" borderId="0" xfId="0" applyFont="1" applyBorder="1" applyAlignment="1">
      <alignment horizontal="center" vertical="center" readingOrder="2"/>
    </xf>
    <xf numFmtId="0" fontId="47" fillId="0" borderId="0" xfId="0" applyFont="1" applyBorder="1" applyAlignment="1">
      <alignment horizontal="center" vertical="center" wrapText="1" readingOrder="2"/>
    </xf>
    <xf numFmtId="0" fontId="41" fillId="0" borderId="0" xfId="0" applyFont="1" applyBorder="1" applyAlignment="1">
      <alignment horizontal="center" vertical="center" readingOrder="2"/>
    </xf>
    <xf numFmtId="0" fontId="45" fillId="6" borderId="0" xfId="0" applyFont="1" applyFill="1" applyBorder="1" applyAlignment="1">
      <alignment horizontal="center" vertical="center" readingOrder="2"/>
    </xf>
    <xf numFmtId="0" fontId="42" fillId="0" borderId="59" xfId="0" applyFont="1" applyBorder="1" applyAlignment="1">
      <alignment horizontal="right" vertical="center"/>
    </xf>
    <xf numFmtId="0" fontId="4" fillId="0" borderId="45" xfId="0" applyFont="1" applyBorder="1" applyAlignment="1">
      <alignment horizontal="center"/>
    </xf>
    <xf numFmtId="0" fontId="33" fillId="0" borderId="0" xfId="0" applyFont="1"/>
    <xf numFmtId="0" fontId="41" fillId="6" borderId="0" xfId="0" applyFont="1" applyFill="1" applyBorder="1" applyAlignment="1">
      <alignment horizontal="center" vertical="top" wrapText="1" readingOrder="2"/>
    </xf>
    <xf numFmtId="0" fontId="42" fillId="0" borderId="68" xfId="0" applyFont="1" applyBorder="1" applyAlignment="1">
      <alignment horizontal="right" vertical="center"/>
    </xf>
    <xf numFmtId="0" fontId="42" fillId="0" borderId="67" xfId="0" applyFont="1" applyBorder="1" applyAlignment="1">
      <alignment horizontal="right" vertical="center"/>
    </xf>
    <xf numFmtId="0" fontId="42" fillId="0" borderId="69" xfId="0" applyFont="1" applyBorder="1" applyAlignment="1">
      <alignment horizontal="right" vertical="center"/>
    </xf>
    <xf numFmtId="0" fontId="41" fillId="6" borderId="70" xfId="0" applyFont="1" applyFill="1" applyBorder="1" applyAlignment="1">
      <alignment horizontal="right" vertical="top" readingOrder="2"/>
    </xf>
    <xf numFmtId="0" fontId="41" fillId="6" borderId="0" xfId="0" applyFont="1" applyFill="1" applyBorder="1" applyAlignment="1">
      <alignment horizontal="right" vertical="top" readingOrder="2"/>
    </xf>
    <xf numFmtId="0" fontId="0" fillId="0" borderId="0" xfId="0" applyAlignment="1">
      <alignment horizontal="right"/>
    </xf>
    <xf numFmtId="0" fontId="0" fillId="0" borderId="72" xfId="0" applyBorder="1"/>
    <xf numFmtId="0" fontId="43" fillId="6" borderId="0" xfId="0" applyFont="1" applyFill="1" applyBorder="1" applyAlignment="1">
      <alignment horizontal="right" vertical="center" wrapText="1" readingOrder="2"/>
    </xf>
    <xf numFmtId="0" fontId="43" fillId="6" borderId="0" xfId="0" applyFont="1" applyFill="1" applyBorder="1" applyAlignment="1">
      <alignment horizontal="center" vertical="center" wrapText="1" readingOrder="2"/>
    </xf>
    <xf numFmtId="0" fontId="43" fillId="6" borderId="0" xfId="0" applyFont="1" applyFill="1" applyBorder="1" applyAlignment="1">
      <alignment horizontal="center" vertical="center" wrapText="1" readingOrder="1"/>
    </xf>
    <xf numFmtId="0" fontId="43" fillId="6" borderId="2" xfId="0" applyFont="1" applyFill="1" applyBorder="1" applyAlignment="1">
      <alignment horizontal="right" vertical="center" wrapText="1" readingOrder="2"/>
    </xf>
    <xf numFmtId="0" fontId="43" fillId="0" borderId="1" xfId="0" applyFont="1" applyBorder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40" fillId="6" borderId="0" xfId="0" applyFont="1" applyFill="1" applyBorder="1" applyAlignment="1">
      <alignment horizontal="center" vertical="center" wrapText="1" readingOrder="2"/>
    </xf>
    <xf numFmtId="0" fontId="43" fillId="6" borderId="1" xfId="0" applyFont="1" applyFill="1" applyBorder="1" applyAlignment="1">
      <alignment horizontal="right" vertical="center" readingOrder="2"/>
    </xf>
    <xf numFmtId="0" fontId="43" fillId="6" borderId="0" xfId="0" applyNumberFormat="1" applyFont="1" applyFill="1" applyBorder="1" applyAlignment="1">
      <alignment horizontal="right" vertical="center" readingOrder="2"/>
    </xf>
    <xf numFmtId="0" fontId="43" fillId="6" borderId="0" xfId="0" applyFont="1" applyFill="1" applyBorder="1" applyAlignment="1">
      <alignment horizontal="right" vertical="center" readingOrder="2"/>
    </xf>
    <xf numFmtId="0" fontId="43" fillId="6" borderId="2" xfId="0" applyFont="1" applyFill="1" applyBorder="1" applyAlignment="1">
      <alignment horizontal="right" vertical="center" readingOrder="1"/>
    </xf>
    <xf numFmtId="0" fontId="43" fillId="6" borderId="0" xfId="0" applyFont="1" applyFill="1" applyBorder="1" applyAlignment="1">
      <alignment horizontal="right" vertical="center" readingOrder="1"/>
    </xf>
    <xf numFmtId="0" fontId="43" fillId="6" borderId="0" xfId="0" applyFont="1" applyFill="1" applyBorder="1" applyAlignment="1">
      <alignment horizontal="center" vertical="center" readingOrder="1"/>
    </xf>
    <xf numFmtId="0" fontId="43" fillId="6" borderId="2" xfId="0" applyFont="1" applyFill="1" applyBorder="1" applyAlignment="1">
      <alignment horizontal="right" vertical="center" readingOrder="2"/>
    </xf>
    <xf numFmtId="0" fontId="43" fillId="0" borderId="1" xfId="0" applyFont="1" applyBorder="1" applyAlignment="1">
      <alignment horizontal="right" vertical="center" readingOrder="2"/>
    </xf>
    <xf numFmtId="0" fontId="43" fillId="0" borderId="0" xfId="0" applyFont="1" applyBorder="1" applyAlignment="1">
      <alignment horizontal="right" readingOrder="2"/>
    </xf>
    <xf numFmtId="0" fontId="43" fillId="0" borderId="0" xfId="0" applyFont="1" applyBorder="1" applyAlignment="1">
      <alignment horizontal="right" vertical="center" readingOrder="1"/>
    </xf>
    <xf numFmtId="0" fontId="43" fillId="0" borderId="2" xfId="0" applyFont="1" applyBorder="1" applyAlignment="1">
      <alignment horizontal="right" vertical="center" readingOrder="2"/>
    </xf>
    <xf numFmtId="0" fontId="43" fillId="0" borderId="1" xfId="0" applyFont="1" applyBorder="1" applyAlignment="1">
      <alignment horizontal="right" vertical="center"/>
    </xf>
    <xf numFmtId="0" fontId="43" fillId="0" borderId="1" xfId="0" applyFont="1" applyBorder="1" applyAlignment="1">
      <alignment vertical="center" readingOrder="2"/>
    </xf>
    <xf numFmtId="0" fontId="43" fillId="0" borderId="2" xfId="0" applyFont="1" applyBorder="1" applyAlignment="1">
      <alignment vertical="center" readingOrder="2"/>
    </xf>
    <xf numFmtId="0" fontId="43" fillId="0" borderId="0" xfId="0" applyFont="1" applyBorder="1" applyAlignment="1">
      <alignment horizontal="center" vertical="center" readingOrder="2"/>
    </xf>
    <xf numFmtId="0" fontId="43" fillId="0" borderId="2" xfId="0" applyFont="1" applyBorder="1" applyAlignment="1">
      <alignment horizontal="center" vertical="center" readingOrder="2"/>
    </xf>
    <xf numFmtId="0" fontId="43" fillId="0" borderId="2" xfId="0" applyFont="1" applyBorder="1" applyAlignment="1">
      <alignment horizontal="right" vertical="center" readingOrder="1"/>
    </xf>
    <xf numFmtId="0" fontId="43" fillId="0" borderId="37" xfId="0" applyFont="1" applyBorder="1" applyAlignment="1">
      <alignment horizontal="right" vertical="center" readingOrder="2"/>
    </xf>
    <xf numFmtId="0" fontId="43" fillId="0" borderId="38" xfId="0" applyFont="1" applyBorder="1" applyAlignment="1">
      <alignment horizontal="right" vertical="center" readingOrder="2"/>
    </xf>
    <xf numFmtId="0" fontId="43" fillId="0" borderId="38" xfId="0" applyFont="1" applyBorder="1" applyAlignment="1">
      <alignment horizontal="right" vertical="center" readingOrder="1"/>
    </xf>
    <xf numFmtId="0" fontId="43" fillId="0" borderId="3" xfId="0" applyFont="1" applyBorder="1" applyAlignment="1">
      <alignment horizontal="right" vertical="center" readingOrder="1"/>
    </xf>
    <xf numFmtId="0" fontId="40" fillId="0" borderId="0" xfId="0" applyFont="1" applyBorder="1" applyAlignment="1">
      <alignment vertical="center" wrapText="1" readingOrder="2"/>
    </xf>
    <xf numFmtId="0" fontId="40" fillId="0" borderId="2" xfId="0" applyFont="1" applyBorder="1" applyAlignment="1">
      <alignment vertical="center" wrapText="1" readingOrder="2"/>
    </xf>
    <xf numFmtId="0" fontId="47" fillId="0" borderId="1" xfId="0" applyFont="1" applyBorder="1" applyAlignment="1">
      <alignment vertical="center"/>
    </xf>
    <xf numFmtId="0" fontId="34" fillId="0" borderId="2" xfId="0" applyFont="1" applyBorder="1" applyAlignment="1">
      <alignment readingOrder="2"/>
    </xf>
    <xf numFmtId="0" fontId="12" fillId="0" borderId="37" xfId="0" applyFont="1" applyBorder="1" applyAlignment="1">
      <alignment vertical="center"/>
    </xf>
    <xf numFmtId="0" fontId="34" fillId="0" borderId="38" xfId="0" applyFont="1" applyBorder="1" applyAlignment="1">
      <alignment readingOrder="2"/>
    </xf>
    <xf numFmtId="0" fontId="34" fillId="0" borderId="3" xfId="0" applyFont="1" applyBorder="1" applyAlignment="1">
      <alignment readingOrder="2"/>
    </xf>
    <xf numFmtId="0" fontId="0" fillId="0" borderId="0" xfId="0" applyAlignment="1"/>
    <xf numFmtId="0" fontId="43" fillId="0" borderId="0" xfId="0" applyFont="1" applyBorder="1" applyAlignment="1">
      <alignment horizontal="left" vertical="center"/>
    </xf>
    <xf numFmtId="0" fontId="43" fillId="0" borderId="1" xfId="0" applyFont="1" applyBorder="1" applyAlignment="1">
      <alignment vertical="center"/>
    </xf>
    <xf numFmtId="0" fontId="43" fillId="0" borderId="1" xfId="0" applyFont="1" applyBorder="1" applyAlignment="1">
      <alignment readingOrder="2"/>
    </xf>
    <xf numFmtId="0" fontId="43" fillId="0" borderId="0" xfId="0" applyFont="1" applyBorder="1" applyAlignment="1">
      <alignment horizontal="right" readingOrder="1"/>
    </xf>
    <xf numFmtId="0" fontId="43" fillId="0" borderId="0" xfId="0" applyFont="1" applyBorder="1" applyAlignment="1">
      <alignment horizontal="center" vertical="center" readingOrder="2"/>
    </xf>
    <xf numFmtId="0" fontId="43" fillId="0" borderId="1" xfId="0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 readingOrder="2"/>
    </xf>
    <xf numFmtId="0" fontId="43" fillId="0" borderId="2" xfId="0" applyFont="1" applyBorder="1" applyAlignment="1">
      <alignment horizontal="right" vertical="center" readingOrder="2"/>
    </xf>
    <xf numFmtId="0" fontId="43" fillId="0" borderId="0" xfId="0" applyFont="1" applyBorder="1" applyAlignment="1">
      <alignment horizontal="right" vertical="center" readingOrder="2"/>
    </xf>
    <xf numFmtId="0" fontId="43" fillId="0" borderId="0" xfId="0" applyFont="1" applyBorder="1" applyAlignment="1">
      <alignment horizontal="right" vertical="center" readingOrder="1"/>
    </xf>
    <xf numFmtId="0" fontId="43" fillId="0" borderId="2" xfId="0" applyFont="1" applyBorder="1" applyAlignment="1">
      <alignment horizontal="right" vertical="center" readingOrder="2"/>
    </xf>
    <xf numFmtId="0" fontId="43" fillId="0" borderId="1" xfId="0" applyFont="1" applyBorder="1" applyAlignment="1">
      <alignment horizontal="right" vertical="center"/>
    </xf>
    <xf numFmtId="0" fontId="43" fillId="0" borderId="0" xfId="0" applyFont="1" applyBorder="1" applyAlignment="1">
      <alignment horizontal="left" vertical="center" readingOrder="2"/>
    </xf>
    <xf numFmtId="0" fontId="43" fillId="0" borderId="0" xfId="0" applyFont="1" applyBorder="1" applyAlignment="1">
      <alignment horizontal="left" vertical="center" readingOrder="2"/>
    </xf>
    <xf numFmtId="0" fontId="43" fillId="0" borderId="1" xfId="0" applyFont="1" applyBorder="1" applyAlignment="1">
      <alignment horizontal="left" vertical="center" readingOrder="1"/>
    </xf>
    <xf numFmtId="0" fontId="43" fillId="0" borderId="0" xfId="0" applyFont="1" applyBorder="1" applyAlignment="1">
      <alignment horizontal="left" vertical="center" readingOrder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readingOrder="2"/>
    </xf>
    <xf numFmtId="0" fontId="43" fillId="0" borderId="0" xfId="0" applyFont="1" applyBorder="1" applyAlignment="1">
      <alignment horizontal="left"/>
    </xf>
    <xf numFmtId="0" fontId="43" fillId="0" borderId="38" xfId="0" applyFont="1" applyBorder="1" applyAlignment="1">
      <alignment horizontal="left" vertical="center" readingOrder="2"/>
    </xf>
    <xf numFmtId="0" fontId="33" fillId="0" borderId="0" xfId="0" applyFont="1" applyAlignment="1">
      <alignment horizontal="left" vertical="center" readingOrder="2"/>
    </xf>
    <xf numFmtId="0" fontId="0" fillId="0" borderId="0" xfId="0" applyAlignment="1">
      <alignment horizontal="right" vertical="center" readingOrder="2"/>
    </xf>
    <xf numFmtId="0" fontId="52" fillId="0" borderId="59" xfId="0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 readingOrder="2"/>
    </xf>
    <xf numFmtId="0" fontId="53" fillId="6" borderId="0" xfId="0" applyFont="1" applyFill="1" applyBorder="1" applyAlignment="1">
      <alignment horizontal="right" vertical="center" readingOrder="2"/>
    </xf>
    <xf numFmtId="0" fontId="4" fillId="0" borderId="45" xfId="0" applyFont="1" applyBorder="1" applyAlignment="1">
      <alignment horizontal="center"/>
    </xf>
    <xf numFmtId="0" fontId="50" fillId="6" borderId="64" xfId="0" applyFont="1" applyFill="1" applyBorder="1" applyAlignment="1">
      <alignment horizontal="center" vertical="center" readingOrder="2"/>
    </xf>
    <xf numFmtId="0" fontId="50" fillId="6" borderId="65" xfId="0" applyFont="1" applyFill="1" applyBorder="1" applyAlignment="1">
      <alignment horizontal="center" vertical="center" readingOrder="2"/>
    </xf>
    <xf numFmtId="0" fontId="50" fillId="6" borderId="66" xfId="0" applyFont="1" applyFill="1" applyBorder="1" applyAlignment="1">
      <alignment horizontal="center" vertical="center" readingOrder="2"/>
    </xf>
    <xf numFmtId="0" fontId="49" fillId="0" borderId="62" xfId="0" applyFont="1" applyBorder="1" applyAlignment="1">
      <alignment horizontal="center" vertical="center"/>
    </xf>
    <xf numFmtId="0" fontId="49" fillId="0" borderId="63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50" fillId="0" borderId="64" xfId="0" applyFont="1" applyBorder="1" applyAlignment="1">
      <alignment horizontal="center" vertical="center" readingOrder="2"/>
    </xf>
    <xf numFmtId="0" fontId="50" fillId="0" borderId="65" xfId="0" applyFont="1" applyBorder="1" applyAlignment="1">
      <alignment horizontal="center" vertical="center" readingOrder="2"/>
    </xf>
    <xf numFmtId="0" fontId="50" fillId="0" borderId="66" xfId="0" applyFont="1" applyBorder="1" applyAlignment="1">
      <alignment horizontal="center" vertical="center" readingOrder="2"/>
    </xf>
    <xf numFmtId="0" fontId="0" fillId="0" borderId="0" xfId="0" applyBorder="1" applyAlignment="1">
      <alignment horizontal="right" vertical="center" readingOrder="2"/>
    </xf>
    <xf numFmtId="0" fontId="0" fillId="0" borderId="0" xfId="0" applyBorder="1" applyAlignment="1">
      <alignment horizontal="center" vertical="center" readingOrder="2"/>
    </xf>
    <xf numFmtId="0" fontId="34" fillId="0" borderId="0" xfId="0" applyFont="1" applyBorder="1" applyAlignment="1">
      <alignment horizontal="center" readingOrder="2"/>
    </xf>
    <xf numFmtId="0" fontId="48" fillId="0" borderId="62" xfId="0" applyFont="1" applyBorder="1" applyAlignment="1">
      <alignment horizontal="right" vertical="center" readingOrder="2"/>
    </xf>
    <xf numFmtId="0" fontId="48" fillId="0" borderId="63" xfId="0" applyFont="1" applyBorder="1" applyAlignment="1">
      <alignment horizontal="right" vertical="center" readingOrder="2"/>
    </xf>
    <xf numFmtId="0" fontId="48" fillId="0" borderId="60" xfId="0" applyFont="1" applyBorder="1" applyAlignment="1">
      <alignment horizontal="right" vertical="center" readingOrder="2"/>
    </xf>
    <xf numFmtId="0" fontId="50" fillId="0" borderId="64" xfId="0" applyFont="1" applyBorder="1" applyAlignment="1">
      <alignment horizontal="center" vertical="center" wrapText="1" readingOrder="2"/>
    </xf>
    <xf numFmtId="0" fontId="50" fillId="0" borderId="65" xfId="0" applyFont="1" applyBorder="1" applyAlignment="1">
      <alignment horizontal="center" vertical="center" wrapText="1" readingOrder="2"/>
    </xf>
    <xf numFmtId="0" fontId="50" fillId="0" borderId="66" xfId="0" applyFont="1" applyBorder="1" applyAlignment="1">
      <alignment horizontal="center" vertical="center" wrapText="1" readingOrder="2"/>
    </xf>
    <xf numFmtId="0" fontId="50" fillId="0" borderId="61" xfId="0" applyFont="1" applyBorder="1" applyAlignment="1">
      <alignment horizontal="center" vertical="center" readingOrder="2"/>
    </xf>
    <xf numFmtId="0" fontId="50" fillId="0" borderId="57" xfId="0" applyFont="1" applyBorder="1" applyAlignment="1">
      <alignment horizontal="center" vertical="center" readingOrder="2"/>
    </xf>
    <xf numFmtId="0" fontId="50" fillId="0" borderId="58" xfId="0" applyFont="1" applyBorder="1" applyAlignment="1">
      <alignment horizontal="center" vertical="center" readingOrder="2"/>
    </xf>
    <xf numFmtId="0" fontId="9" fillId="0" borderId="4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 textRotation="90" wrapText="1"/>
    </xf>
    <xf numFmtId="0" fontId="23" fillId="0" borderId="52" xfId="0" applyFont="1" applyBorder="1" applyAlignment="1">
      <alignment horizontal="center" vertical="center" textRotation="90" wrapText="1"/>
    </xf>
    <xf numFmtId="0" fontId="23" fillId="0" borderId="53" xfId="0" applyFont="1" applyBorder="1" applyAlignment="1">
      <alignment horizontal="center" vertical="center" textRotation="90" wrapText="1"/>
    </xf>
    <xf numFmtId="0" fontId="29" fillId="0" borderId="0" xfId="0" applyFont="1" applyBorder="1" applyAlignment="1">
      <alignment horizontal="center" vertical="top" textRotation="90" wrapText="1"/>
    </xf>
    <xf numFmtId="0" fontId="24" fillId="0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26" fillId="0" borderId="0" xfId="0" applyFont="1" applyBorder="1" applyAlignment="1">
      <alignment horizontal="center" vertical="top" textRotation="90" wrapText="1"/>
    </xf>
    <xf numFmtId="0" fontId="26" fillId="0" borderId="51" xfId="0" applyFont="1" applyBorder="1" applyAlignment="1">
      <alignment horizontal="center" vertical="center" textRotation="90" wrapText="1"/>
    </xf>
    <xf numFmtId="0" fontId="26" fillId="0" borderId="52" xfId="0" applyFont="1" applyBorder="1" applyAlignment="1">
      <alignment horizontal="center" vertical="center" textRotation="90" wrapText="1"/>
    </xf>
    <xf numFmtId="0" fontId="26" fillId="0" borderId="53" xfId="0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 horizontal="center" vertical="top" textRotation="90" wrapText="1"/>
    </xf>
    <xf numFmtId="0" fontId="20" fillId="0" borderId="0" xfId="0" applyFont="1" applyFill="1" applyBorder="1" applyAlignment="1">
      <alignment horizontal="left"/>
    </xf>
    <xf numFmtId="0" fontId="13" fillId="3" borderId="54" xfId="0" applyFont="1" applyFill="1" applyBorder="1" applyAlignment="1">
      <alignment horizontal="center" vertical="top" wrapText="1"/>
    </xf>
    <xf numFmtId="0" fontId="13" fillId="3" borderId="55" xfId="0" applyFont="1" applyFill="1" applyBorder="1" applyAlignment="1">
      <alignment horizontal="center" vertical="top" wrapText="1"/>
    </xf>
    <xf numFmtId="0" fontId="13" fillId="3" borderId="5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  <xf numFmtId="0" fontId="40" fillId="5" borderId="39" xfId="0" applyFont="1" applyFill="1" applyBorder="1" applyAlignment="1">
      <alignment horizontal="center" vertical="center" readingOrder="2"/>
    </xf>
    <xf numFmtId="0" fontId="40" fillId="5" borderId="5" xfId="0" applyFont="1" applyFill="1" applyBorder="1" applyAlignment="1">
      <alignment horizontal="center" vertical="center" readingOrder="2"/>
    </xf>
    <xf numFmtId="0" fontId="40" fillId="5" borderId="1" xfId="0" applyFont="1" applyFill="1" applyBorder="1" applyAlignment="1">
      <alignment horizontal="center" vertical="center" readingOrder="2"/>
    </xf>
    <xf numFmtId="0" fontId="40" fillId="5" borderId="2" xfId="0" applyFont="1" applyFill="1" applyBorder="1" applyAlignment="1">
      <alignment horizontal="center" vertical="center" readingOrder="2"/>
    </xf>
    <xf numFmtId="0" fontId="43" fillId="0" borderId="0" xfId="0" applyFont="1" applyBorder="1" applyAlignment="1">
      <alignment horizontal="center" vertical="center" wrapText="1" readingOrder="2"/>
    </xf>
    <xf numFmtId="0" fontId="43" fillId="0" borderId="0" xfId="0" applyFont="1" applyBorder="1" applyAlignment="1">
      <alignment horizontal="right" vertical="center" readingOrder="2"/>
    </xf>
    <xf numFmtId="0" fontId="43" fillId="6" borderId="0" xfId="0" applyFont="1" applyFill="1" applyBorder="1" applyAlignment="1">
      <alignment horizontal="center" vertical="center" readingOrder="2"/>
    </xf>
    <xf numFmtId="0" fontId="43" fillId="6" borderId="2" xfId="0" applyFont="1" applyFill="1" applyBorder="1" applyAlignment="1">
      <alignment horizontal="center" vertical="center" readingOrder="2"/>
    </xf>
    <xf numFmtId="0" fontId="43" fillId="0" borderId="1" xfId="0" applyFont="1" applyBorder="1" applyAlignment="1">
      <alignment horizontal="right" vertical="center" readingOrder="2"/>
    </xf>
    <xf numFmtId="0" fontId="43" fillId="0" borderId="0" xfId="0" applyFont="1" applyBorder="1" applyAlignment="1">
      <alignment horizontal="right" vertical="center" readingOrder="1"/>
    </xf>
    <xf numFmtId="0" fontId="43" fillId="0" borderId="2" xfId="0" applyFont="1" applyBorder="1" applyAlignment="1">
      <alignment horizontal="right" vertical="center" readingOrder="1"/>
    </xf>
    <xf numFmtId="0" fontId="43" fillId="0" borderId="38" xfId="0" applyFont="1" applyBorder="1" applyAlignment="1">
      <alignment horizontal="left" vertical="center"/>
    </xf>
    <xf numFmtId="0" fontId="45" fillId="6" borderId="1" xfId="0" applyFont="1" applyFill="1" applyBorder="1" applyAlignment="1">
      <alignment horizontal="right" readingOrder="2"/>
    </xf>
    <xf numFmtId="0" fontId="45" fillId="6" borderId="0" xfId="0" applyFont="1" applyFill="1" applyBorder="1" applyAlignment="1">
      <alignment horizontal="right" readingOrder="2"/>
    </xf>
    <xf numFmtId="0" fontId="45" fillId="6" borderId="2" xfId="0" applyFont="1" applyFill="1" applyBorder="1" applyAlignment="1">
      <alignment horizontal="right" readingOrder="2"/>
    </xf>
    <xf numFmtId="0" fontId="40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left" vertical="center" readingOrder="2"/>
    </xf>
    <xf numFmtId="0" fontId="43" fillId="0" borderId="2" xfId="0" applyFont="1" applyBorder="1" applyAlignment="1">
      <alignment horizontal="right" vertical="center" readingOrder="2"/>
    </xf>
    <xf numFmtId="0" fontId="43" fillId="6" borderId="0" xfId="0" applyFont="1" applyFill="1" applyBorder="1" applyAlignment="1">
      <alignment horizontal="right" vertical="center" readingOrder="2"/>
    </xf>
    <xf numFmtId="0" fontId="43" fillId="6" borderId="2" xfId="0" applyFont="1" applyFill="1" applyBorder="1" applyAlignment="1">
      <alignment horizontal="right" vertical="center" readingOrder="2"/>
    </xf>
    <xf numFmtId="0" fontId="43" fillId="6" borderId="1" xfId="0" applyFont="1" applyFill="1" applyBorder="1" applyAlignment="1">
      <alignment horizontal="right" vertical="center" readingOrder="2"/>
    </xf>
    <xf numFmtId="0" fontId="43" fillId="0" borderId="0" xfId="0" applyFont="1" applyBorder="1" applyAlignment="1">
      <alignment horizontal="center" vertical="center" readingOrder="2"/>
    </xf>
    <xf numFmtId="0" fontId="43" fillId="0" borderId="0" xfId="0" applyFont="1" applyBorder="1" applyAlignment="1">
      <alignment horizontal="center" vertical="center" readingOrder="1"/>
    </xf>
    <xf numFmtId="0" fontId="43" fillId="0" borderId="2" xfId="0" applyFont="1" applyBorder="1" applyAlignment="1">
      <alignment horizontal="center" vertical="center" readingOrder="1"/>
    </xf>
    <xf numFmtId="0" fontId="43" fillId="0" borderId="1" xfId="0" applyFont="1" applyBorder="1" applyAlignment="1">
      <alignment horizontal="right" vertical="center" wrapText="1" readingOrder="2"/>
    </xf>
    <xf numFmtId="0" fontId="43" fillId="0" borderId="0" xfId="0" applyFont="1" applyBorder="1" applyAlignment="1">
      <alignment horizontal="right" vertical="center" wrapText="1" readingOrder="2"/>
    </xf>
    <xf numFmtId="0" fontId="41" fillId="5" borderId="39" xfId="0" applyFont="1" applyFill="1" applyBorder="1" applyAlignment="1">
      <alignment horizontal="center" vertical="center" wrapText="1" readingOrder="2"/>
    </xf>
    <xf numFmtId="0" fontId="41" fillId="5" borderId="4" xfId="0" applyFont="1" applyFill="1" applyBorder="1" applyAlignment="1">
      <alignment horizontal="center" vertical="center" wrapText="1" readingOrder="2"/>
    </xf>
    <xf numFmtId="0" fontId="41" fillId="5" borderId="1" xfId="0" applyFont="1" applyFill="1" applyBorder="1" applyAlignment="1">
      <alignment horizontal="center" vertical="center" wrapText="1" readingOrder="2"/>
    </xf>
    <xf numFmtId="0" fontId="41" fillId="5" borderId="0" xfId="0" applyFont="1" applyFill="1" applyBorder="1" applyAlignment="1">
      <alignment horizontal="center" vertical="center" wrapText="1" readingOrder="2"/>
    </xf>
    <xf numFmtId="0" fontId="43" fillId="0" borderId="2" xfId="0" applyFont="1" applyBorder="1" applyAlignment="1">
      <alignment horizontal="center" vertical="center" readingOrder="2"/>
    </xf>
    <xf numFmtId="0" fontId="43" fillId="0" borderId="0" xfId="0" applyFont="1" applyBorder="1" applyAlignment="1">
      <alignment horizontal="center" readingOrder="2"/>
    </xf>
    <xf numFmtId="0" fontId="43" fillId="0" borderId="0" xfId="0" applyFont="1" applyBorder="1" applyAlignment="1">
      <alignment horizontal="right" readingOrder="2"/>
    </xf>
    <xf numFmtId="0" fontId="43" fillId="0" borderId="2" xfId="0" applyFont="1" applyBorder="1" applyAlignment="1">
      <alignment horizontal="center" readingOrder="2"/>
    </xf>
    <xf numFmtId="0" fontId="45" fillId="6" borderId="39" xfId="0" applyFont="1" applyFill="1" applyBorder="1" applyAlignment="1">
      <alignment horizontal="right" vertical="center" readingOrder="2"/>
    </xf>
    <xf numFmtId="0" fontId="45" fillId="6" borderId="4" xfId="0" applyFont="1" applyFill="1" applyBorder="1" applyAlignment="1">
      <alignment horizontal="right" vertical="center" readingOrder="2"/>
    </xf>
    <xf numFmtId="0" fontId="45" fillId="6" borderId="5" xfId="0" applyFont="1" applyFill="1" applyBorder="1" applyAlignment="1">
      <alignment horizontal="right" vertical="center" readingOrder="2"/>
    </xf>
    <xf numFmtId="0" fontId="42" fillId="5" borderId="39" xfId="0" applyFont="1" applyFill="1" applyBorder="1" applyAlignment="1">
      <alignment horizontal="center" vertical="center" wrapText="1" readingOrder="2"/>
    </xf>
    <xf numFmtId="0" fontId="42" fillId="5" borderId="4" xfId="0" applyFont="1" applyFill="1" applyBorder="1" applyAlignment="1">
      <alignment horizontal="center" vertical="center" wrapText="1" readingOrder="2"/>
    </xf>
    <xf numFmtId="0" fontId="42" fillId="5" borderId="1" xfId="0" applyFont="1" applyFill="1" applyBorder="1" applyAlignment="1">
      <alignment horizontal="center" vertical="center" wrapText="1" readingOrder="2"/>
    </xf>
    <xf numFmtId="0" fontId="42" fillId="5" borderId="0" xfId="0" applyFont="1" applyFill="1" applyBorder="1" applyAlignment="1">
      <alignment horizontal="center" vertical="center" wrapText="1" readingOrder="2"/>
    </xf>
    <xf numFmtId="0" fontId="42" fillId="5" borderId="37" xfId="0" applyFont="1" applyFill="1" applyBorder="1" applyAlignment="1">
      <alignment horizontal="center" vertical="center" wrapText="1" readingOrder="2"/>
    </xf>
    <xf numFmtId="0" fontId="42" fillId="5" borderId="38" xfId="0" applyFont="1" applyFill="1" applyBorder="1" applyAlignment="1">
      <alignment horizontal="center" vertical="center" wrapText="1" readingOrder="2"/>
    </xf>
    <xf numFmtId="0" fontId="40" fillId="5" borderId="37" xfId="0" applyFont="1" applyFill="1" applyBorder="1" applyAlignment="1">
      <alignment horizontal="center" vertical="center" readingOrder="2"/>
    </xf>
    <xf numFmtId="0" fontId="40" fillId="5" borderId="3" xfId="0" applyFont="1" applyFill="1" applyBorder="1" applyAlignment="1">
      <alignment horizontal="center" vertical="center" readingOrder="2"/>
    </xf>
    <xf numFmtId="0" fontId="45" fillId="0" borderId="1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0" fontId="45" fillId="0" borderId="2" xfId="0" applyFont="1" applyBorder="1" applyAlignment="1">
      <alignment horizontal="right" vertical="center"/>
    </xf>
    <xf numFmtId="0" fontId="43" fillId="0" borderId="2" xfId="0" applyFont="1" applyBorder="1" applyAlignment="1">
      <alignment horizontal="right" vertical="center"/>
    </xf>
    <xf numFmtId="0" fontId="43" fillId="0" borderId="1" xfId="0" applyFont="1" applyBorder="1" applyAlignment="1">
      <alignment horizontal="right" vertical="center"/>
    </xf>
    <xf numFmtId="0" fontId="43" fillId="0" borderId="0" xfId="0" applyFont="1" applyBorder="1" applyAlignment="1">
      <alignment horizontal="left" vertical="center"/>
    </xf>
    <xf numFmtId="0" fontId="34" fillId="0" borderId="38" xfId="0" applyFont="1" applyBorder="1" applyAlignment="1">
      <alignment horizontal="center" vertical="top" readingOrder="2"/>
    </xf>
    <xf numFmtId="0" fontId="34" fillId="0" borderId="0" xfId="0" applyFont="1" applyBorder="1" applyAlignment="1">
      <alignment horizontal="center" vertical="top" wrapText="1" readingOrder="2"/>
    </xf>
    <xf numFmtId="0" fontId="34" fillId="0" borderId="0" xfId="0" applyFont="1" applyBorder="1" applyAlignment="1">
      <alignment horizontal="center" vertical="top"/>
    </xf>
    <xf numFmtId="0" fontId="43" fillId="0" borderId="2" xfId="0" applyFont="1" applyBorder="1" applyAlignment="1">
      <alignment horizontal="right" readingOrder="2"/>
    </xf>
    <xf numFmtId="0" fontId="43" fillId="0" borderId="0" xfId="0" applyFont="1" applyBorder="1" applyAlignment="1">
      <alignment horizontal="right" readingOrder="1"/>
    </xf>
    <xf numFmtId="0" fontId="43" fillId="0" borderId="2" xfId="0" applyFont="1" applyBorder="1" applyAlignment="1">
      <alignment horizontal="right" readingOrder="1"/>
    </xf>
    <xf numFmtId="0" fontId="44" fillId="6" borderId="39" xfId="0" applyFont="1" applyFill="1" applyBorder="1" applyAlignment="1">
      <alignment horizontal="right" vertical="top" wrapText="1" readingOrder="2"/>
    </xf>
    <xf numFmtId="0" fontId="44" fillId="6" borderId="4" xfId="0" applyFont="1" applyFill="1" applyBorder="1" applyAlignment="1">
      <alignment horizontal="right" vertical="top" wrapText="1" readingOrder="2"/>
    </xf>
    <xf numFmtId="0" fontId="44" fillId="6" borderId="5" xfId="0" applyFont="1" applyFill="1" applyBorder="1" applyAlignment="1">
      <alignment horizontal="right" vertical="top" wrapText="1" readingOrder="2"/>
    </xf>
    <xf numFmtId="0" fontId="44" fillId="6" borderId="1" xfId="0" applyFont="1" applyFill="1" applyBorder="1" applyAlignment="1">
      <alignment horizontal="right" vertical="top" wrapText="1" readingOrder="2"/>
    </xf>
    <xf numFmtId="0" fontId="44" fillId="6" borderId="0" xfId="0" applyFont="1" applyFill="1" applyBorder="1" applyAlignment="1">
      <alignment horizontal="right" vertical="top" wrapText="1" readingOrder="2"/>
    </xf>
    <xf numFmtId="0" fontId="44" fillId="6" borderId="2" xfId="0" applyFont="1" applyFill="1" applyBorder="1" applyAlignment="1">
      <alignment horizontal="right" vertical="top" wrapText="1" readingOrder="2"/>
    </xf>
    <xf numFmtId="0" fontId="49" fillId="0" borderId="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readingOrder="1"/>
    </xf>
    <xf numFmtId="0" fontId="41" fillId="0" borderId="2" xfId="0" applyFont="1" applyBorder="1" applyAlignment="1">
      <alignment horizontal="center" vertical="center" readingOrder="1"/>
    </xf>
    <xf numFmtId="0" fontId="41" fillId="0" borderId="1" xfId="0" applyFont="1" applyBorder="1" applyAlignment="1">
      <alignment horizontal="right" vertical="center" readingOrder="2"/>
    </xf>
    <xf numFmtId="0" fontId="41" fillId="0" borderId="0" xfId="0" applyFont="1" applyBorder="1" applyAlignment="1">
      <alignment horizontal="right" vertical="center" readingOrder="2"/>
    </xf>
    <xf numFmtId="0" fontId="41" fillId="0" borderId="71" xfId="0" applyFont="1" applyBorder="1" applyAlignment="1">
      <alignment horizontal="right" vertical="center" readingOrder="2"/>
    </xf>
    <xf numFmtId="0" fontId="41" fillId="0" borderId="37" xfId="0" applyFont="1" applyBorder="1" applyAlignment="1">
      <alignment horizontal="right" vertical="center" readingOrder="2"/>
    </xf>
    <xf numFmtId="0" fontId="41" fillId="0" borderId="38" xfId="0" applyFont="1" applyBorder="1" applyAlignment="1">
      <alignment horizontal="right" vertical="center" readingOrder="2"/>
    </xf>
    <xf numFmtId="0" fontId="41" fillId="0" borderId="73" xfId="0" applyFont="1" applyBorder="1" applyAlignment="1">
      <alignment horizontal="right" vertical="center" readingOrder="2"/>
    </xf>
    <xf numFmtId="0" fontId="41" fillId="0" borderId="38" xfId="0" applyFont="1" applyBorder="1" applyAlignment="1">
      <alignment horizontal="center" vertical="center" readingOrder="1"/>
    </xf>
    <xf numFmtId="0" fontId="41" fillId="0" borderId="3" xfId="0" applyFont="1" applyBorder="1" applyAlignment="1">
      <alignment horizontal="center" vertical="center" readingOrder="1"/>
    </xf>
    <xf numFmtId="0" fontId="43" fillId="6" borderId="1" xfId="0" applyFont="1" applyFill="1" applyBorder="1" applyAlignment="1">
      <alignment horizontal="right" vertical="center" wrapText="1" readingOrder="2"/>
    </xf>
    <xf numFmtId="0" fontId="43" fillId="6" borderId="0" xfId="0" applyFont="1" applyFill="1" applyBorder="1" applyAlignment="1">
      <alignment horizontal="right" vertical="center" wrapText="1" readingOrder="2"/>
    </xf>
    <xf numFmtId="0" fontId="43" fillId="6" borderId="2" xfId="0" applyFont="1" applyFill="1" applyBorder="1" applyAlignment="1">
      <alignment horizontal="right" vertical="center" wrapText="1" readingOrder="2"/>
    </xf>
    <xf numFmtId="0" fontId="43" fillId="6" borderId="1" xfId="0" applyFont="1" applyFill="1" applyBorder="1" applyAlignment="1">
      <alignment horizontal="right" vertical="top" wrapText="1" readingOrder="2"/>
    </xf>
    <xf numFmtId="0" fontId="43" fillId="6" borderId="0" xfId="0" applyFont="1" applyFill="1" applyBorder="1" applyAlignment="1">
      <alignment horizontal="right" vertical="top" readingOrder="2"/>
    </xf>
    <xf numFmtId="0" fontId="43" fillId="6" borderId="2" xfId="0" applyFont="1" applyFill="1" applyBorder="1" applyAlignment="1">
      <alignment horizontal="right" vertical="top" readingOrder="2"/>
    </xf>
    <xf numFmtId="0" fontId="43" fillId="6" borderId="1" xfId="0" applyFont="1" applyFill="1" applyBorder="1" applyAlignment="1">
      <alignment horizontal="right" vertical="top" readingOrder="2"/>
    </xf>
    <xf numFmtId="0" fontId="43" fillId="0" borderId="0" xfId="0" applyFont="1" applyBorder="1" applyAlignment="1">
      <alignment horizontal="right"/>
    </xf>
    <xf numFmtId="0" fontId="43" fillId="0" borderId="2" xfId="0" applyFont="1" applyBorder="1" applyAlignment="1">
      <alignment horizontal="right"/>
    </xf>
    <xf numFmtId="0" fontId="45" fillId="6" borderId="39" xfId="0" applyFont="1" applyFill="1" applyBorder="1" applyAlignment="1">
      <alignment horizontal="center" vertical="center" wrapText="1" readingOrder="2"/>
    </xf>
    <xf numFmtId="0" fontId="45" fillId="6" borderId="4" xfId="0" applyFont="1" applyFill="1" applyBorder="1" applyAlignment="1">
      <alignment horizontal="center" vertical="center" wrapText="1" readingOrder="2"/>
    </xf>
    <xf numFmtId="0" fontId="45" fillId="6" borderId="5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4440128149129"/>
          <c:y val="7.4803221505926179E-2"/>
          <c:w val="0.59864045001669131"/>
          <c:h val="0.8464575065144278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0"/>
            <c:dispEq val="1"/>
            <c:trendlineLbl>
              <c:layout>
                <c:manualLayout>
                  <c:x val="0.40230159951586109"/>
                  <c:y val="-8.0231173426130398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a-IR"/>
                </a:p>
              </c:txPr>
            </c:trendlineLbl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3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3"/>
            <c:dispRSqr val="0"/>
            <c:dispEq val="1"/>
            <c:trendlineLbl>
              <c:layout>
                <c:manualLayout>
                  <c:x val="0.1435027385122713"/>
                  <c:y val="0.52576586223387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a-IR"/>
                </a:p>
              </c:txPr>
            </c:trendlineLbl>
          </c:trendline>
          <c:xVal>
            <c:numRef>
              <c:f>'مشخصات ريلها'!$A$8:$A$67</c:f>
              <c:numCache>
                <c:formatCode>General</c:formatCode>
                <c:ptCount val="60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</c:numCache>
            </c:numRef>
          </c:xVal>
          <c:yVal>
            <c:numRef>
              <c:f>'مشخصات ريلها'!$B$8:$B$67</c:f>
              <c:numCache>
                <c:formatCode>General</c:formatCode>
                <c:ptCount val="60"/>
                <c:pt idx="0">
                  <c:v>1.9</c:v>
                </c:pt>
                <c:pt idx="1">
                  <c:v>1.92</c:v>
                </c:pt>
                <c:pt idx="2">
                  <c:v>1.94</c:v>
                </c:pt>
                <c:pt idx="3">
                  <c:v>1.96</c:v>
                </c:pt>
                <c:pt idx="4">
                  <c:v>1.98</c:v>
                </c:pt>
                <c:pt idx="5">
                  <c:v>2</c:v>
                </c:pt>
                <c:pt idx="6">
                  <c:v>2.02</c:v>
                </c:pt>
                <c:pt idx="7">
                  <c:v>2.0499999999999998</c:v>
                </c:pt>
                <c:pt idx="8">
                  <c:v>2.0699999999999998</c:v>
                </c:pt>
                <c:pt idx="9">
                  <c:v>2.09</c:v>
                </c:pt>
                <c:pt idx="10">
                  <c:v>2.11</c:v>
                </c:pt>
                <c:pt idx="11">
                  <c:v>2.14</c:v>
                </c:pt>
                <c:pt idx="12">
                  <c:v>2.16</c:v>
                </c:pt>
                <c:pt idx="13">
                  <c:v>2.1800000000000002</c:v>
                </c:pt>
                <c:pt idx="14">
                  <c:v>2.21</c:v>
                </c:pt>
                <c:pt idx="15">
                  <c:v>2.23</c:v>
                </c:pt>
                <c:pt idx="16">
                  <c:v>2.27</c:v>
                </c:pt>
                <c:pt idx="17">
                  <c:v>2.31</c:v>
                </c:pt>
                <c:pt idx="18">
                  <c:v>2.35</c:v>
                </c:pt>
                <c:pt idx="19">
                  <c:v>2.39</c:v>
                </c:pt>
                <c:pt idx="20">
                  <c:v>2.4300000000000002</c:v>
                </c:pt>
                <c:pt idx="21">
                  <c:v>2.4700000000000002</c:v>
                </c:pt>
                <c:pt idx="22">
                  <c:v>2.5099999999999998</c:v>
                </c:pt>
                <c:pt idx="23">
                  <c:v>2.5499999999999998</c:v>
                </c:pt>
                <c:pt idx="24">
                  <c:v>2.6</c:v>
                </c:pt>
                <c:pt idx="25">
                  <c:v>2.64</c:v>
                </c:pt>
                <c:pt idx="26">
                  <c:v>2.68</c:v>
                </c:pt>
                <c:pt idx="27">
                  <c:v>2.72</c:v>
                </c:pt>
                <c:pt idx="28">
                  <c:v>2.77</c:v>
                </c:pt>
                <c:pt idx="29">
                  <c:v>2.81</c:v>
                </c:pt>
                <c:pt idx="30">
                  <c:v>2.85</c:v>
                </c:pt>
                <c:pt idx="31">
                  <c:v>2.9</c:v>
                </c:pt>
                <c:pt idx="32">
                  <c:v>2.94</c:v>
                </c:pt>
                <c:pt idx="33">
                  <c:v>2.99</c:v>
                </c:pt>
                <c:pt idx="34">
                  <c:v>3.03</c:v>
                </c:pt>
                <c:pt idx="35">
                  <c:v>3.08</c:v>
                </c:pt>
                <c:pt idx="36">
                  <c:v>3.12</c:v>
                </c:pt>
                <c:pt idx="37">
                  <c:v>3.17</c:v>
                </c:pt>
                <c:pt idx="38">
                  <c:v>3.22</c:v>
                </c:pt>
                <c:pt idx="39">
                  <c:v>3.26</c:v>
                </c:pt>
                <c:pt idx="40">
                  <c:v>3.31</c:v>
                </c:pt>
                <c:pt idx="41">
                  <c:v>3.36</c:v>
                </c:pt>
                <c:pt idx="42">
                  <c:v>3.41</c:v>
                </c:pt>
                <c:pt idx="43">
                  <c:v>3.45</c:v>
                </c:pt>
                <c:pt idx="44">
                  <c:v>3.5</c:v>
                </c:pt>
                <c:pt idx="45">
                  <c:v>3.55</c:v>
                </c:pt>
                <c:pt idx="46">
                  <c:v>3.6</c:v>
                </c:pt>
                <c:pt idx="47">
                  <c:v>3.65</c:v>
                </c:pt>
                <c:pt idx="48">
                  <c:v>3.7</c:v>
                </c:pt>
                <c:pt idx="49">
                  <c:v>3.75</c:v>
                </c:pt>
                <c:pt idx="50">
                  <c:v>3.8</c:v>
                </c:pt>
                <c:pt idx="51">
                  <c:v>3.85</c:v>
                </c:pt>
                <c:pt idx="52">
                  <c:v>3.9</c:v>
                </c:pt>
                <c:pt idx="53">
                  <c:v>3.95</c:v>
                </c:pt>
                <c:pt idx="54">
                  <c:v>4</c:v>
                </c:pt>
                <c:pt idx="55">
                  <c:v>4.0599999999999996</c:v>
                </c:pt>
                <c:pt idx="56">
                  <c:v>4.1100000000000003</c:v>
                </c:pt>
                <c:pt idx="57">
                  <c:v>4.16</c:v>
                </c:pt>
                <c:pt idx="58">
                  <c:v>4.22</c:v>
                </c:pt>
                <c:pt idx="59">
                  <c:v>4.2699999999999996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698400"/>
        <c:axId val="229698792"/>
      </c:scatterChart>
      <c:valAx>
        <c:axId val="22969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229698792"/>
        <c:crosses val="autoZero"/>
        <c:crossBetween val="midCat"/>
      </c:valAx>
      <c:valAx>
        <c:axId val="229698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22969840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69512739478993"/>
          <c:y val="0.38385868105069543"/>
          <c:w val="0.25170103737032867"/>
          <c:h val="0.19094508855684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firstButton="1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Radio" checked="Checked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checked="Checked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247650</xdr:colOff>
      <xdr:row>52</xdr:row>
      <xdr:rowOff>28575</xdr:rowOff>
    </xdr:from>
    <xdr:to>
      <xdr:col>25</xdr:col>
      <xdr:colOff>361950</xdr:colOff>
      <xdr:row>81</xdr:row>
      <xdr:rowOff>133350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69</xdr:row>
          <xdr:rowOff>0</xdr:rowOff>
        </xdr:from>
        <xdr:to>
          <xdr:col>0</xdr:col>
          <xdr:colOff>161925</xdr:colOff>
          <xdr:row>69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894522</xdr:colOff>
      <xdr:row>43</xdr:row>
      <xdr:rowOff>215347</xdr:rowOff>
    </xdr:from>
    <xdr:to>
      <xdr:col>6</xdr:col>
      <xdr:colOff>829802</xdr:colOff>
      <xdr:row>45</xdr:row>
      <xdr:rowOff>37876</xdr:rowOff>
    </xdr:to>
    <xdr:grpSp>
      <xdr:nvGrpSpPr>
        <xdr:cNvPr id="16" name="Group 15"/>
        <xdr:cNvGrpSpPr/>
      </xdr:nvGrpSpPr>
      <xdr:grpSpPr>
        <a:xfrm>
          <a:off x="10037973546" y="11877260"/>
          <a:ext cx="3223475" cy="302920"/>
          <a:chOff x="9992157247" y="3077784"/>
          <a:chExt cx="3223475" cy="30292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69" name="Group Box 25" hidden="1">
                <a:extLst>
                  <a:ext uri="{63B3BB69-23CF-44E3-9099-C40C66FF867C}">
                    <a14:compatExt spid="_x0000_s6169"/>
                  </a:ext>
                </a:extLst>
              </xdr:cNvPr>
              <xdr:cNvSpPr/>
            </xdr:nvSpPr>
            <xdr:spPr bwMode="auto">
              <a:xfrm>
                <a:off x="9992191596" y="3106357"/>
                <a:ext cx="3065301" cy="23925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18288" tIns="0" rIns="0" bIns="0" anchor="t" upright="1"/>
              <a:lstStyle/>
              <a:p>
                <a:pPr algn="r" rtl="0">
                  <a:defRPr sz="1000"/>
                </a:pPr>
                <a:endParaRPr lang="en-US"/>
              </a:p>
            </xdr:txBody>
          </xdr:sp>
        </mc:Choice>
        <mc:Fallback/>
      </mc:AlternateContent>
      <xdr:sp macro="" textlink="">
        <xdr:nvSpPr>
          <xdr:cNvPr id="18" name="Rectangle 17"/>
          <xdr:cNvSpPr/>
        </xdr:nvSpPr>
        <xdr:spPr>
          <a:xfrm>
            <a:off x="9992157247" y="3077784"/>
            <a:ext cx="3223475" cy="302920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1" anchor="t"/>
          <a:lstStyle/>
          <a:p>
            <a:pPr algn="r" rtl="1"/>
            <a:endParaRPr lang="fa-IR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70" name="Option Button 26" hidden="1">
                <a:extLst>
                  <a:ext uri="{63B3BB69-23CF-44E3-9099-C40C66FF867C}">
                    <a14:compatExt spid="_x0000_s6170"/>
                  </a:ext>
                </a:extLst>
              </xdr:cNvPr>
              <xdr:cNvSpPr/>
            </xdr:nvSpPr>
            <xdr:spPr bwMode="auto">
              <a:xfrm>
                <a:off x="9993552056" y="3124812"/>
                <a:ext cx="1063885" cy="20230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0" tIns="18288" rIns="27432" bIns="18288" anchor="ctr" upright="1"/>
              <a:lstStyle/>
              <a:p>
                <a:pPr algn="r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71" name="Option Button 27" hidden="1">
                <a:extLst>
                  <a:ext uri="{63B3BB69-23CF-44E3-9099-C40C66FF867C}">
                    <a14:compatExt spid="_x0000_s6171"/>
                  </a:ext>
                </a:extLst>
              </xdr:cNvPr>
              <xdr:cNvSpPr/>
            </xdr:nvSpPr>
            <xdr:spPr bwMode="auto">
              <a:xfrm>
                <a:off x="9992319224" y="3124812"/>
                <a:ext cx="1064690" cy="20230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0" tIns="18288" rIns="27432" bIns="18288" anchor="ctr" upright="1"/>
              <a:lstStyle/>
              <a:p>
                <a:pPr algn="r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U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0</xdr:col>
      <xdr:colOff>1267240</xdr:colOff>
      <xdr:row>45</xdr:row>
      <xdr:rowOff>8283</xdr:rowOff>
    </xdr:from>
    <xdr:to>
      <xdr:col>4</xdr:col>
      <xdr:colOff>786694</xdr:colOff>
      <xdr:row>46</xdr:row>
      <xdr:rowOff>22982</xdr:rowOff>
    </xdr:to>
    <xdr:grpSp>
      <xdr:nvGrpSpPr>
        <xdr:cNvPr id="17" name="Group 16"/>
        <xdr:cNvGrpSpPr/>
      </xdr:nvGrpSpPr>
      <xdr:grpSpPr>
        <a:xfrm>
          <a:off x="10039880241" y="12150587"/>
          <a:ext cx="2965019" cy="254895"/>
          <a:chOff x="9993059645" y="3045316"/>
          <a:chExt cx="2965019" cy="25489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72" name="Group Box 28" hidden="1">
                <a:extLst>
                  <a:ext uri="{63B3BB69-23CF-44E3-9099-C40C66FF867C}">
                    <a14:compatExt spid="_x0000_s6172"/>
                  </a:ext>
                </a:extLst>
              </xdr:cNvPr>
              <xdr:cNvSpPr/>
            </xdr:nvSpPr>
            <xdr:spPr bwMode="auto">
              <a:xfrm>
                <a:off x="9993059645" y="3058732"/>
                <a:ext cx="2931482" cy="23286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18288" tIns="0" rIns="0" bIns="0" anchor="t" upright="1"/>
              <a:lstStyle/>
              <a:p>
                <a:pPr algn="r" rtl="0">
                  <a:defRPr sz="1000"/>
                </a:pPr>
                <a:endParaRPr lang="en-US"/>
              </a:p>
            </xdr:txBody>
          </xdr:sp>
        </mc:Choice>
        <mc:Fallback/>
      </mc:AlternateContent>
      <xdr:sp macro="" textlink="">
        <xdr:nvSpPr>
          <xdr:cNvPr id="19" name="Rectangle 18"/>
          <xdr:cNvSpPr/>
        </xdr:nvSpPr>
        <xdr:spPr>
          <a:xfrm>
            <a:off x="9993059841" y="3045316"/>
            <a:ext cx="2964823" cy="254895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fa-IR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73" name="Option Button 29" hidden="1">
                <a:extLst>
                  <a:ext uri="{63B3BB69-23CF-44E3-9099-C40C66FF867C}">
                    <a14:compatExt spid="_x0000_s6173"/>
                  </a:ext>
                </a:extLst>
              </xdr:cNvPr>
              <xdr:cNvSpPr/>
            </xdr:nvSpPr>
            <xdr:spPr bwMode="auto">
              <a:xfrm>
                <a:off x="9994356108" y="3067671"/>
                <a:ext cx="1020054" cy="1970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0" tIns="18288" rIns="27432" bIns="18288" anchor="ctr" upright="1"/>
              <a:lstStyle/>
              <a:p>
                <a:pPr algn="r" rtl="1">
                  <a:defRPr sz="1000"/>
                </a:pPr>
                <a:r>
                  <a:rPr lang="fa-I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دارد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74" name="Option Button 30" hidden="1">
                <a:extLst>
                  <a:ext uri="{63B3BB69-23CF-44E3-9099-C40C66FF867C}">
                    <a14:compatExt spid="_x0000_s6174"/>
                  </a:ext>
                </a:extLst>
              </xdr:cNvPr>
              <xdr:cNvSpPr/>
            </xdr:nvSpPr>
            <xdr:spPr bwMode="auto">
              <a:xfrm>
                <a:off x="9993227038" y="3067671"/>
                <a:ext cx="1020054" cy="1970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0" tIns="18288" rIns="27432" bIns="18288" anchor="ctr" upright="1"/>
              <a:lstStyle/>
              <a:p>
                <a:pPr algn="r" rtl="1">
                  <a:defRPr sz="1000"/>
                </a:pPr>
                <a:r>
                  <a:rPr lang="fa-I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ندارد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2</xdr:col>
      <xdr:colOff>165652</xdr:colOff>
      <xdr:row>66</xdr:row>
      <xdr:rowOff>8283</xdr:rowOff>
    </xdr:from>
    <xdr:to>
      <xdr:col>6</xdr:col>
      <xdr:colOff>499641</xdr:colOff>
      <xdr:row>67</xdr:row>
      <xdr:rowOff>22573</xdr:rowOff>
    </xdr:to>
    <xdr:grpSp>
      <xdr:nvGrpSpPr>
        <xdr:cNvPr id="20" name="Group 19"/>
        <xdr:cNvGrpSpPr/>
      </xdr:nvGrpSpPr>
      <xdr:grpSpPr>
        <a:xfrm>
          <a:off x="10038303707" y="17310653"/>
          <a:ext cx="3622184" cy="221355"/>
          <a:chOff x="9991771954" y="2575774"/>
          <a:chExt cx="3622184" cy="22135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75" name="Group Box 31" hidden="1">
                <a:extLst>
                  <a:ext uri="{63B3BB69-23CF-44E3-9099-C40C66FF867C}">
                    <a14:compatExt spid="_x0000_s6175"/>
                  </a:ext>
                </a:extLst>
              </xdr:cNvPr>
              <xdr:cNvSpPr/>
            </xdr:nvSpPr>
            <xdr:spPr bwMode="auto">
              <a:xfrm>
                <a:off x="9991791252" y="2577875"/>
                <a:ext cx="3589470" cy="205713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18288" tIns="0" rIns="0" bIns="0" anchor="t" upright="1"/>
              <a:lstStyle/>
              <a:p>
                <a:pPr algn="r" rtl="0">
                  <a:defRPr sz="1000"/>
                </a:pPr>
                <a:endParaRPr lang="en-US"/>
              </a:p>
            </xdr:txBody>
          </xdr:sp>
        </mc:Choice>
        <mc:Fallback/>
      </mc:AlternateContent>
      <xdr:sp macro="" textlink="">
        <xdr:nvSpPr>
          <xdr:cNvPr id="21" name="Rectangle 20"/>
          <xdr:cNvSpPr/>
        </xdr:nvSpPr>
        <xdr:spPr>
          <a:xfrm>
            <a:off x="9991771954" y="2575774"/>
            <a:ext cx="3622184" cy="2213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fa-IR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76" name="Option Button 32" hidden="1">
                <a:extLst>
                  <a:ext uri="{63B3BB69-23CF-44E3-9099-C40C66FF867C}">
                    <a14:compatExt spid="_x0000_s6176"/>
                  </a:ext>
                </a:extLst>
              </xdr:cNvPr>
              <xdr:cNvSpPr/>
            </xdr:nvSpPr>
            <xdr:spPr bwMode="auto">
              <a:xfrm>
                <a:off x="9994322129" y="2590594"/>
                <a:ext cx="887175" cy="1747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0" tIns="18288" rIns="27432" bIns="18288" anchor="ctr" upright="1"/>
              <a:lstStyle/>
              <a:p>
                <a:pPr algn="r" rtl="1">
                  <a:defRPr sz="1000"/>
                </a:pPr>
                <a:r>
                  <a:rPr lang="fa-I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پوش باتن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77" name="Option Button 33" hidden="1">
                <a:extLst>
                  <a:ext uri="{63B3BB69-23CF-44E3-9099-C40C66FF867C}">
                    <a14:compatExt spid="_x0000_s6177"/>
                  </a:ext>
                </a:extLst>
              </xdr:cNvPr>
              <xdr:cNvSpPr/>
            </xdr:nvSpPr>
            <xdr:spPr bwMode="auto">
              <a:xfrm>
                <a:off x="9993155106" y="2589191"/>
                <a:ext cx="884382" cy="17475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0" tIns="18288" rIns="27432" bIns="18288" anchor="ctr" upright="1"/>
              <a:lstStyle/>
              <a:p>
                <a:pPr algn="r" rtl="1">
                  <a:defRPr sz="1000"/>
                </a:pPr>
                <a:r>
                  <a:rPr lang="fa-I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کلکتیوداون 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78" name="Option Button 34" hidden="1">
                <a:extLst>
                  <a:ext uri="{63B3BB69-23CF-44E3-9099-C40C66FF867C}">
                    <a14:compatExt spid="_x0000_s6178"/>
                  </a:ext>
                </a:extLst>
              </xdr:cNvPr>
              <xdr:cNvSpPr/>
            </xdr:nvSpPr>
            <xdr:spPr bwMode="auto">
              <a:xfrm>
                <a:off x="9991995426" y="2601600"/>
                <a:ext cx="884382" cy="17475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0" tIns="18288" rIns="27432" bIns="18288" anchor="ctr" upright="1"/>
              <a:lstStyle/>
              <a:p>
                <a:pPr algn="r" rtl="1">
                  <a:defRPr sz="1000"/>
                </a:pPr>
                <a:r>
                  <a:rPr lang="fa-I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کلکتیوسلکتیو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2</xdr:col>
      <xdr:colOff>107673</xdr:colOff>
      <xdr:row>67</xdr:row>
      <xdr:rowOff>8283</xdr:rowOff>
    </xdr:from>
    <xdr:to>
      <xdr:col>6</xdr:col>
      <xdr:colOff>683140</xdr:colOff>
      <xdr:row>68</xdr:row>
      <xdr:rowOff>34822</xdr:rowOff>
    </xdr:to>
    <xdr:grpSp>
      <xdr:nvGrpSpPr>
        <xdr:cNvPr id="22" name="Group 21"/>
        <xdr:cNvGrpSpPr/>
      </xdr:nvGrpSpPr>
      <xdr:grpSpPr>
        <a:xfrm>
          <a:off x="10038120208" y="17517718"/>
          <a:ext cx="3863662" cy="217039"/>
          <a:chOff x="9990926778" y="3199595"/>
          <a:chExt cx="3863662" cy="27501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79" name="Group Box 35" hidden="1">
                <a:extLst>
                  <a:ext uri="{63B3BB69-23CF-44E3-9099-C40C66FF867C}">
                    <a14:compatExt spid="_x0000_s6179"/>
                  </a:ext>
                </a:extLst>
              </xdr:cNvPr>
              <xdr:cNvSpPr/>
            </xdr:nvSpPr>
            <xdr:spPr bwMode="auto">
              <a:xfrm>
                <a:off x="9990955487" y="3219718"/>
                <a:ext cx="3814830" cy="23718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18288" tIns="0" rIns="0" bIns="0" anchor="t" upright="1"/>
              <a:lstStyle/>
              <a:p>
                <a:pPr algn="r" rtl="0">
                  <a:defRPr sz="1000"/>
                </a:pPr>
                <a:endParaRPr lang="en-US"/>
              </a:p>
            </xdr:txBody>
          </xdr:sp>
        </mc:Choice>
        <mc:Fallback/>
      </mc:AlternateContent>
      <xdr:sp macro="" textlink="">
        <xdr:nvSpPr>
          <xdr:cNvPr id="23" name="Rectangle 22"/>
          <xdr:cNvSpPr/>
        </xdr:nvSpPr>
        <xdr:spPr>
          <a:xfrm>
            <a:off x="9990926778" y="3199595"/>
            <a:ext cx="3863662" cy="275017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fa-IR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80" name="Option Button 36" hidden="1">
                <a:extLst>
                  <a:ext uri="{63B3BB69-23CF-44E3-9099-C40C66FF867C}">
                    <a14:compatExt spid="_x0000_s6180"/>
                  </a:ext>
                </a:extLst>
              </xdr:cNvPr>
              <xdr:cNvSpPr/>
            </xdr:nvSpPr>
            <xdr:spPr bwMode="auto">
              <a:xfrm>
                <a:off x="9993645562" y="3238768"/>
                <a:ext cx="943780" cy="1990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0" tIns="18288" rIns="27432" bIns="18288" anchor="ctr" upright="1"/>
              <a:lstStyle/>
              <a:p>
                <a:pPr algn="r" rtl="1">
                  <a:defRPr sz="1000"/>
                </a:pPr>
                <a:r>
                  <a:rPr lang="fa-I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رله ای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81" name="Option Button 37" hidden="1">
                <a:extLst>
                  <a:ext uri="{63B3BB69-23CF-44E3-9099-C40C66FF867C}">
                    <a14:compatExt spid="_x0000_s6181"/>
                  </a:ext>
                </a:extLst>
              </xdr:cNvPr>
              <xdr:cNvSpPr/>
            </xdr:nvSpPr>
            <xdr:spPr bwMode="auto">
              <a:xfrm>
                <a:off x="9992396177" y="3248293"/>
                <a:ext cx="943780" cy="20861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0" tIns="18288" rIns="27432" bIns="18288" anchor="ctr" upright="1"/>
              <a:lstStyle/>
              <a:p>
                <a:pPr algn="r" rtl="1">
                  <a:defRPr sz="1000"/>
                </a:pPr>
                <a:r>
                  <a:rPr lang="fa-I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الکترونیک دیجیتال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82" name="Option Button 38" hidden="1">
                <a:extLst>
                  <a:ext uri="{63B3BB69-23CF-44E3-9099-C40C66FF867C}">
                    <a14:compatExt spid="_x0000_s6182"/>
                  </a:ext>
                </a:extLst>
              </xdr:cNvPr>
              <xdr:cNvSpPr/>
            </xdr:nvSpPr>
            <xdr:spPr bwMode="auto">
              <a:xfrm>
                <a:off x="9991175367" y="3248293"/>
                <a:ext cx="934255" cy="1990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0" tIns="18288" rIns="27432" bIns="18288" anchor="ctr" upright="1"/>
              <a:lstStyle/>
              <a:p>
                <a:pPr algn="r" rtl="1">
                  <a:defRPr sz="1000"/>
                </a:pPr>
                <a:r>
                  <a:rPr lang="fa-I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میکرو پروسسور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34"/>
  <sheetViews>
    <sheetView rightToLeft="1" tabSelected="1" topLeftCell="A126" zoomScaleNormal="100" workbookViewId="0">
      <selection activeCell="B138" sqref="B138"/>
    </sheetView>
  </sheetViews>
  <sheetFormatPr defaultRowHeight="15"/>
  <cols>
    <col min="1" max="1" width="31" style="136" customWidth="1"/>
    <col min="2" max="2" width="22.5703125" style="136" customWidth="1"/>
    <col min="3" max="3" width="18.42578125" style="136" customWidth="1"/>
    <col min="4" max="4" width="49.5703125" style="3" customWidth="1"/>
    <col min="5" max="5" width="10.140625" style="3" customWidth="1"/>
    <col min="6" max="6" width="15.42578125" style="3" customWidth="1"/>
    <col min="7" max="8" width="9.140625" style="3"/>
    <col min="9" max="10" width="17" style="3" bestFit="1" customWidth="1"/>
    <col min="11" max="11" width="18.7109375" style="3" customWidth="1"/>
    <col min="12" max="12" width="15.5703125" style="3" customWidth="1"/>
    <col min="13" max="13" width="13.28515625" style="3" customWidth="1"/>
    <col min="14" max="16384" width="9.140625" style="3"/>
  </cols>
  <sheetData>
    <row r="1" spans="1:17" ht="21">
      <c r="A1" s="178" t="s">
        <v>326</v>
      </c>
      <c r="B1" s="178"/>
      <c r="C1" s="178"/>
      <c r="D1" s="4" t="s">
        <v>16</v>
      </c>
      <c r="I1" s="3" t="s">
        <v>30</v>
      </c>
      <c r="J1" s="3" t="s">
        <v>160</v>
      </c>
      <c r="K1" s="263" t="s">
        <v>333</v>
      </c>
      <c r="L1" s="263"/>
      <c r="M1" s="263"/>
      <c r="O1" s="263" t="s">
        <v>334</v>
      </c>
      <c r="P1" s="263"/>
      <c r="Q1" s="263"/>
    </row>
    <row r="2" spans="1:17" ht="21">
      <c r="A2" s="178" t="s">
        <v>1</v>
      </c>
      <c r="B2" s="178"/>
      <c r="C2" s="178" t="s">
        <v>5</v>
      </c>
      <c r="D2" s="3">
        <f>B2*75</f>
        <v>0</v>
      </c>
      <c r="I2" s="121" t="s">
        <v>178</v>
      </c>
      <c r="J2" s="121" t="s">
        <v>178</v>
      </c>
      <c r="K2" s="192">
        <v>50</v>
      </c>
      <c r="L2" s="192">
        <v>50</v>
      </c>
      <c r="M2" s="192" t="s">
        <v>332</v>
      </c>
      <c r="O2" s="192">
        <v>50</v>
      </c>
      <c r="P2" s="192">
        <v>50</v>
      </c>
      <c r="Q2" s="192" t="s">
        <v>332</v>
      </c>
    </row>
    <row r="3" spans="1:17" ht="21">
      <c r="A3" s="178" t="s">
        <v>0</v>
      </c>
      <c r="B3" s="178"/>
      <c r="C3" s="178" t="s">
        <v>4</v>
      </c>
      <c r="D3" s="3">
        <f>B4+D2/2</f>
        <v>0</v>
      </c>
      <c r="I3" s="121" t="s">
        <v>175</v>
      </c>
      <c r="J3" s="121" t="s">
        <v>175</v>
      </c>
      <c r="K3" s="192">
        <v>70</v>
      </c>
      <c r="L3" s="192">
        <v>65</v>
      </c>
      <c r="M3" s="192" t="s">
        <v>23</v>
      </c>
      <c r="O3" s="192">
        <v>70</v>
      </c>
      <c r="P3" s="192">
        <v>65</v>
      </c>
      <c r="Q3" s="192" t="s">
        <v>23</v>
      </c>
    </row>
    <row r="4" spans="1:17" ht="21">
      <c r="A4" s="178" t="s">
        <v>104</v>
      </c>
      <c r="B4" s="178"/>
      <c r="C4" s="178" t="s">
        <v>193</v>
      </c>
      <c r="I4" s="121" t="s">
        <v>167</v>
      </c>
      <c r="J4" s="121" t="s">
        <v>167</v>
      </c>
      <c r="K4" s="192">
        <v>70</v>
      </c>
      <c r="L4" s="192">
        <v>70</v>
      </c>
      <c r="M4" s="192" t="s">
        <v>24</v>
      </c>
      <c r="O4" s="192"/>
      <c r="P4" s="192"/>
      <c r="Q4" s="192"/>
    </row>
    <row r="5" spans="1:17" ht="21">
      <c r="A5" s="178" t="s">
        <v>34</v>
      </c>
      <c r="B5" s="178"/>
      <c r="C5" s="178" t="s">
        <v>47</v>
      </c>
      <c r="D5" s="134"/>
      <c r="I5" s="121" t="s">
        <v>177</v>
      </c>
      <c r="J5" s="121" t="s">
        <v>173</v>
      </c>
    </row>
    <row r="6" spans="1:17" ht="21">
      <c r="A6" s="178" t="s">
        <v>30</v>
      </c>
      <c r="B6" s="178"/>
      <c r="C6" s="178"/>
      <c r="I6" s="121" t="s">
        <v>173</v>
      </c>
      <c r="J6" s="121" t="s">
        <v>169</v>
      </c>
    </row>
    <row r="7" spans="1:17" ht="21">
      <c r="A7" s="178" t="s">
        <v>160</v>
      </c>
      <c r="B7" s="178"/>
      <c r="C7" s="178"/>
      <c r="I7" s="3" t="s">
        <v>169</v>
      </c>
      <c r="J7" s="3" t="s">
        <v>169</v>
      </c>
    </row>
    <row r="8" spans="1:17" ht="21">
      <c r="A8" s="178" t="s">
        <v>32</v>
      </c>
      <c r="B8" s="178"/>
      <c r="C8" s="178" t="s">
        <v>192</v>
      </c>
      <c r="I8" s="121" t="s">
        <v>166</v>
      </c>
      <c r="J8" s="121" t="s">
        <v>168</v>
      </c>
    </row>
    <row r="9" spans="1:17" ht="21">
      <c r="A9" s="178" t="s">
        <v>18</v>
      </c>
      <c r="B9" s="178"/>
      <c r="C9" s="178" t="s">
        <v>47</v>
      </c>
      <c r="I9" s="121" t="s">
        <v>172</v>
      </c>
      <c r="J9" s="121" t="s">
        <v>172</v>
      </c>
    </row>
    <row r="10" spans="1:17" ht="21">
      <c r="A10" s="178" t="s">
        <v>37</v>
      </c>
      <c r="B10" s="178"/>
      <c r="C10" s="178" t="s">
        <v>47</v>
      </c>
      <c r="I10" s="121" t="s">
        <v>171</v>
      </c>
      <c r="J10" s="121" t="s">
        <v>171</v>
      </c>
    </row>
    <row r="11" spans="1:17" ht="21">
      <c r="A11" s="178" t="s">
        <v>198</v>
      </c>
      <c r="B11" s="178"/>
      <c r="C11" s="178" t="s">
        <v>47</v>
      </c>
      <c r="I11" s="121" t="s">
        <v>170</v>
      </c>
      <c r="J11" s="121" t="s">
        <v>170</v>
      </c>
    </row>
    <row r="12" spans="1:17" ht="21">
      <c r="A12" s="178" t="s">
        <v>199</v>
      </c>
      <c r="B12" s="178"/>
      <c r="C12" s="178" t="s">
        <v>47</v>
      </c>
      <c r="I12" s="121" t="s">
        <v>176</v>
      </c>
      <c r="J12" s="121" t="s">
        <v>174</v>
      </c>
    </row>
    <row r="13" spans="1:17" ht="21">
      <c r="A13" s="178" t="s">
        <v>26</v>
      </c>
      <c r="B13" s="178" t="e">
        <f>180-K89</f>
        <v>#DIV/0!</v>
      </c>
      <c r="C13" s="178" t="s">
        <v>191</v>
      </c>
      <c r="I13" s="121" t="s">
        <v>174</v>
      </c>
      <c r="J13" s="121" t="s">
        <v>39</v>
      </c>
    </row>
    <row r="14" spans="1:17" ht="21">
      <c r="A14" s="178" t="s">
        <v>6</v>
      </c>
      <c r="B14" s="178"/>
      <c r="C14" s="178" t="s">
        <v>7</v>
      </c>
    </row>
    <row r="15" spans="1:17" ht="21">
      <c r="A15" s="178" t="s">
        <v>19</v>
      </c>
      <c r="B15" s="178"/>
      <c r="C15" s="178"/>
      <c r="F15" s="3">
        <f>B28/50</f>
        <v>1</v>
      </c>
    </row>
    <row r="16" spans="1:17" ht="21" hidden="1">
      <c r="A16" s="178" t="s">
        <v>8</v>
      </c>
      <c r="B16" s="178" t="b">
        <f>IF(B15='مشخصات سيم بكسلها'!B1,8,IF(B15='مشخصات سيم بكسلها'!C1,9,IF(B15='مشخصات سيم بكسلها'!D1,10,IF(B15='مشخصات سيم بكسلها'!E1,11,IF(B15='مشخصات سيم بكسلها'!F1,12,IF(B15='مشخصات سيم بكسلها'!G1,13))))))</f>
        <v>0</v>
      </c>
      <c r="C16" s="178" t="s">
        <v>44</v>
      </c>
    </row>
    <row r="17" spans="1:10" ht="21">
      <c r="A17" s="178" t="s">
        <v>17</v>
      </c>
      <c r="B17" s="178"/>
      <c r="C17" s="178" t="s">
        <v>52</v>
      </c>
    </row>
    <row r="18" spans="1:10" ht="21">
      <c r="A18" s="178" t="s">
        <v>10</v>
      </c>
      <c r="B18" s="178"/>
      <c r="C18" s="178"/>
    </row>
    <row r="19" spans="1:10" ht="21">
      <c r="A19" s="178" t="s">
        <v>27</v>
      </c>
      <c r="B19" s="178"/>
      <c r="C19" s="178"/>
    </row>
    <row r="20" spans="1:10" ht="21">
      <c r="A20" s="178" t="s">
        <v>2</v>
      </c>
      <c r="B20" s="178"/>
      <c r="C20" s="178" t="s">
        <v>47</v>
      </c>
    </row>
    <row r="21" spans="1:10" ht="21">
      <c r="A21" s="178" t="s">
        <v>3</v>
      </c>
      <c r="B21" s="178"/>
      <c r="C21" s="178" t="s">
        <v>47</v>
      </c>
    </row>
    <row r="22" spans="1:10" ht="21">
      <c r="A22" s="178" t="s">
        <v>35</v>
      </c>
      <c r="B22" s="178"/>
      <c r="C22" s="178"/>
    </row>
    <row r="23" spans="1:10" ht="21">
      <c r="A23" s="178" t="s">
        <v>36</v>
      </c>
      <c r="B23" s="178"/>
      <c r="C23" s="178"/>
    </row>
    <row r="24" spans="1:10" ht="21" hidden="1">
      <c r="A24" s="178" t="s">
        <v>189</v>
      </c>
      <c r="B24" s="178">
        <f>B9/2</f>
        <v>0</v>
      </c>
      <c r="C24" s="178"/>
    </row>
    <row r="25" spans="1:10" ht="21" hidden="1">
      <c r="A25" s="178" t="s">
        <v>190</v>
      </c>
      <c r="B25" s="178">
        <f>B10/2</f>
        <v>0</v>
      </c>
      <c r="C25" s="178"/>
    </row>
    <row r="26" spans="1:10" ht="21" hidden="1">
      <c r="A26" s="178" t="s">
        <v>188</v>
      </c>
      <c r="B26" s="178">
        <f>B11-(B24+B25)</f>
        <v>0</v>
      </c>
      <c r="C26" s="178" t="s">
        <v>47</v>
      </c>
      <c r="I26" s="121" t="s">
        <v>169</v>
      </c>
      <c r="J26" s="121" t="s">
        <v>166</v>
      </c>
    </row>
    <row r="27" spans="1:10" ht="21">
      <c r="A27" s="178" t="s">
        <v>15</v>
      </c>
      <c r="B27" s="178"/>
      <c r="C27" s="178"/>
    </row>
    <row r="28" spans="1:10" ht="21">
      <c r="A28" s="178" t="s">
        <v>179</v>
      </c>
      <c r="B28" s="178">
        <v>50</v>
      </c>
      <c r="C28" s="178" t="s">
        <v>180</v>
      </c>
    </row>
    <row r="29" spans="1:10" ht="21">
      <c r="A29" s="178" t="s">
        <v>38</v>
      </c>
      <c r="B29" s="178" t="s">
        <v>39</v>
      </c>
      <c r="C29" s="178"/>
    </row>
    <row r="30" spans="1:10" ht="21">
      <c r="A30" s="178" t="s">
        <v>28</v>
      </c>
      <c r="B30" s="178" t="s">
        <v>29</v>
      </c>
      <c r="C30" s="178"/>
    </row>
    <row r="31" spans="1:10" ht="21">
      <c r="A31" s="178" t="s">
        <v>152</v>
      </c>
      <c r="B31" s="178" t="s">
        <v>39</v>
      </c>
      <c r="C31" s="178"/>
    </row>
    <row r="32" spans="1:10" ht="21">
      <c r="A32" s="178" t="s">
        <v>203</v>
      </c>
      <c r="B32" s="178"/>
      <c r="C32" s="178"/>
    </row>
    <row r="33" spans="1:7" ht="21">
      <c r="A33" s="178" t="s">
        <v>204</v>
      </c>
      <c r="B33" s="178">
        <f>B2*3-3</f>
        <v>-3</v>
      </c>
      <c r="C33" s="178" t="s">
        <v>45</v>
      </c>
    </row>
    <row r="34" spans="1:7" ht="21">
      <c r="A34" s="178" t="s">
        <v>205</v>
      </c>
      <c r="B34" s="178"/>
      <c r="C34" s="178" t="s">
        <v>52</v>
      </c>
    </row>
    <row r="35" spans="1:7" ht="21">
      <c r="A35" s="178" t="s">
        <v>206</v>
      </c>
      <c r="B35" s="178"/>
      <c r="C35" s="178" t="s">
        <v>52</v>
      </c>
    </row>
    <row r="36" spans="1:7" ht="21">
      <c r="A36" s="178" t="s">
        <v>207</v>
      </c>
      <c r="B36" s="178"/>
      <c r="C36" s="178"/>
    </row>
    <row r="37" spans="1:7" ht="21.75" thickBot="1">
      <c r="A37" s="178" t="s">
        <v>208</v>
      </c>
      <c r="B37" s="178"/>
      <c r="C37" s="178"/>
    </row>
    <row r="38" spans="1:7" ht="30">
      <c r="A38" s="264" t="s">
        <v>233</v>
      </c>
      <c r="B38" s="265"/>
      <c r="C38" s="266"/>
      <c r="D38" s="190"/>
      <c r="E38" s="190"/>
      <c r="F38" s="190"/>
      <c r="G38" s="190"/>
    </row>
    <row r="39" spans="1:7" ht="21">
      <c r="A39" s="178" t="s">
        <v>210</v>
      </c>
      <c r="B39" s="178"/>
      <c r="C39" s="178"/>
    </row>
    <row r="40" spans="1:7" ht="21">
      <c r="A40" s="178" t="s">
        <v>211</v>
      </c>
      <c r="B40" s="178"/>
      <c r="C40" s="178" t="s">
        <v>47</v>
      </c>
    </row>
    <row r="41" spans="1:7" ht="21">
      <c r="A41" s="178" t="s">
        <v>257</v>
      </c>
      <c r="B41" s="178"/>
      <c r="C41" s="178" t="s">
        <v>47</v>
      </c>
    </row>
    <row r="42" spans="1:7" ht="21">
      <c r="A42" s="178" t="s">
        <v>213</v>
      </c>
      <c r="B42" s="178"/>
      <c r="C42" s="178"/>
    </row>
    <row r="43" spans="1:7" ht="21">
      <c r="A43" s="178" t="s">
        <v>214</v>
      </c>
      <c r="B43" s="178"/>
      <c r="C43" s="178"/>
    </row>
    <row r="44" spans="1:7" ht="21">
      <c r="A44" s="178" t="s">
        <v>215</v>
      </c>
      <c r="B44" s="178"/>
      <c r="C44" s="178"/>
    </row>
    <row r="45" spans="1:7" ht="21.75" thickBot="1">
      <c r="A45" s="178" t="s">
        <v>216</v>
      </c>
      <c r="B45" s="178"/>
      <c r="C45" s="178"/>
    </row>
    <row r="46" spans="1:7" ht="30">
      <c r="A46" s="270" t="s">
        <v>232</v>
      </c>
      <c r="B46" s="271"/>
      <c r="C46" s="272"/>
      <c r="D46" s="186"/>
      <c r="E46" s="186"/>
      <c r="F46" s="186"/>
      <c r="G46" s="186"/>
    </row>
    <row r="47" spans="1:7" ht="24">
      <c r="A47" s="178" t="s">
        <v>214</v>
      </c>
      <c r="B47" s="178"/>
      <c r="C47" s="178"/>
      <c r="D47" s="157"/>
      <c r="E47" s="157"/>
      <c r="F47" s="157"/>
      <c r="G47" s="157"/>
    </row>
    <row r="48" spans="1:7" ht="22.5">
      <c r="A48" s="178" t="s">
        <v>217</v>
      </c>
      <c r="B48" s="178"/>
      <c r="C48" s="178"/>
      <c r="D48" s="158"/>
      <c r="E48" s="159"/>
      <c r="F48" s="158"/>
      <c r="G48" s="158"/>
    </row>
    <row r="49" spans="1:7" ht="23.25" thickBot="1">
      <c r="A49" s="178" t="s">
        <v>218</v>
      </c>
      <c r="B49" s="178"/>
      <c r="C49" s="178" t="s">
        <v>52</v>
      </c>
      <c r="D49" s="158"/>
      <c r="E49" s="158"/>
      <c r="F49" s="158"/>
      <c r="G49" s="158"/>
    </row>
    <row r="50" spans="1:7" ht="30">
      <c r="A50" s="270" t="s">
        <v>231</v>
      </c>
      <c r="B50" s="271"/>
      <c r="C50" s="272"/>
      <c r="D50" s="189"/>
      <c r="E50" s="189"/>
      <c r="F50" s="189"/>
      <c r="G50" s="189"/>
    </row>
    <row r="51" spans="1:7" ht="21">
      <c r="A51" s="178" t="s">
        <v>214</v>
      </c>
      <c r="B51" s="178"/>
      <c r="C51" s="178"/>
      <c r="D51" s="160"/>
      <c r="E51" s="160"/>
      <c r="F51" s="160"/>
      <c r="G51" s="160"/>
    </row>
    <row r="52" spans="1:7" ht="21">
      <c r="A52" s="178" t="s">
        <v>229</v>
      </c>
      <c r="B52" s="178">
        <f>D2+B4</f>
        <v>0</v>
      </c>
      <c r="C52" s="178" t="s">
        <v>193</v>
      </c>
      <c r="D52" s="160"/>
      <c r="E52" s="160"/>
      <c r="F52" s="160"/>
      <c r="G52" s="160"/>
    </row>
    <row r="53" spans="1:7" ht="21">
      <c r="A53" s="178" t="s">
        <v>226</v>
      </c>
      <c r="B53" s="178"/>
      <c r="C53" s="178" t="s">
        <v>52</v>
      </c>
      <c r="D53" s="160"/>
      <c r="G53" s="160"/>
    </row>
    <row r="54" spans="1:7" ht="21">
      <c r="A54" s="178" t="s">
        <v>227</v>
      </c>
      <c r="B54" s="178"/>
      <c r="C54" s="178"/>
    </row>
    <row r="55" spans="1:7" ht="21.75" thickBot="1">
      <c r="A55" s="178" t="s">
        <v>228</v>
      </c>
      <c r="B55" s="178"/>
      <c r="C55" s="178"/>
    </row>
    <row r="56" spans="1:7" ht="30">
      <c r="A56" s="270" t="s">
        <v>230</v>
      </c>
      <c r="B56" s="271"/>
      <c r="C56" s="272"/>
      <c r="D56" s="185"/>
      <c r="E56" s="185"/>
      <c r="F56" s="185"/>
      <c r="G56" s="185"/>
    </row>
    <row r="57" spans="1:7" ht="21">
      <c r="A57" s="178" t="s">
        <v>235</v>
      </c>
      <c r="B57" s="178"/>
      <c r="C57" s="178"/>
      <c r="D57" s="161"/>
      <c r="E57" s="161"/>
      <c r="F57" s="161"/>
      <c r="G57" s="161"/>
    </row>
    <row r="58" spans="1:7" ht="21">
      <c r="A58" s="178" t="s">
        <v>222</v>
      </c>
      <c r="B58" s="178"/>
      <c r="C58" s="178"/>
      <c r="D58" s="161"/>
      <c r="E58" s="161"/>
      <c r="F58" s="161"/>
      <c r="G58" s="161"/>
    </row>
    <row r="59" spans="1:7" ht="21">
      <c r="A59" s="178" t="s">
        <v>236</v>
      </c>
      <c r="B59" s="178"/>
      <c r="C59" s="178"/>
      <c r="D59" s="161"/>
      <c r="E59" s="161"/>
      <c r="F59" s="161"/>
      <c r="G59" s="161"/>
    </row>
    <row r="60" spans="1:7" ht="21">
      <c r="A60" s="178" t="s">
        <v>223</v>
      </c>
      <c r="B60" s="178"/>
      <c r="C60" s="178" t="s">
        <v>193</v>
      </c>
      <c r="D60" s="161"/>
      <c r="E60" s="161"/>
      <c r="F60" s="161"/>
      <c r="G60" s="161"/>
    </row>
    <row r="61" spans="1:7" ht="21">
      <c r="A61" s="178" t="s">
        <v>362</v>
      </c>
      <c r="B61" s="178"/>
      <c r="C61" s="178"/>
      <c r="D61" s="161"/>
      <c r="E61" s="161"/>
      <c r="F61" s="161"/>
      <c r="G61" s="161"/>
    </row>
    <row r="62" spans="1:7" ht="26.25">
      <c r="A62" s="267" t="s">
        <v>237</v>
      </c>
      <c r="B62" s="268"/>
      <c r="C62" s="269"/>
    </row>
    <row r="63" spans="1:7" ht="21.75" thickBot="1">
      <c r="A63" s="178" t="s">
        <v>363</v>
      </c>
      <c r="B63" s="178"/>
      <c r="C63" s="178"/>
    </row>
    <row r="64" spans="1:7" ht="30">
      <c r="A64" s="270" t="s">
        <v>239</v>
      </c>
      <c r="B64" s="271"/>
      <c r="C64" s="272"/>
      <c r="D64" s="185"/>
      <c r="E64" s="185"/>
      <c r="F64" s="185"/>
      <c r="G64" s="185"/>
    </row>
    <row r="65" spans="1:7" ht="21">
      <c r="A65" s="178" t="s">
        <v>240</v>
      </c>
      <c r="B65" s="178"/>
      <c r="C65" s="178"/>
      <c r="E65" s="153"/>
      <c r="G65" s="156"/>
    </row>
    <row r="66" spans="1:7" ht="21">
      <c r="A66" s="178" t="s">
        <v>217</v>
      </c>
      <c r="B66" s="178"/>
      <c r="C66" s="178"/>
      <c r="D66" s="151"/>
      <c r="E66" s="153"/>
      <c r="F66" s="151"/>
      <c r="G66" s="156"/>
    </row>
    <row r="67" spans="1:7" ht="21">
      <c r="A67" s="178" t="s">
        <v>241</v>
      </c>
      <c r="B67" s="178"/>
      <c r="C67" s="178"/>
      <c r="D67" s="151"/>
      <c r="E67" s="153"/>
      <c r="F67" s="151"/>
      <c r="G67" s="156"/>
    </row>
    <row r="68" spans="1:7" ht="21">
      <c r="A68" s="178" t="s">
        <v>242</v>
      </c>
      <c r="B68" s="178"/>
      <c r="C68" s="178"/>
      <c r="D68" s="151"/>
      <c r="E68" s="151"/>
      <c r="F68" s="151"/>
      <c r="G68" s="150"/>
    </row>
    <row r="69" spans="1:7" ht="21">
      <c r="A69" s="178" t="s">
        <v>244</v>
      </c>
      <c r="B69" s="178"/>
      <c r="C69" s="178" t="s">
        <v>29</v>
      </c>
      <c r="D69" s="151"/>
      <c r="E69" s="151"/>
      <c r="F69" s="151"/>
      <c r="G69" s="150"/>
    </row>
    <row r="70" spans="1:7" ht="21">
      <c r="A70" s="178" t="s">
        <v>245</v>
      </c>
      <c r="B70" s="178"/>
      <c r="C70" s="178" t="s">
        <v>219</v>
      </c>
      <c r="D70" s="151"/>
      <c r="E70" s="151"/>
      <c r="F70" s="151"/>
      <c r="G70" s="150"/>
    </row>
    <row r="71" spans="1:7" ht="21">
      <c r="A71" s="178" t="s">
        <v>220</v>
      </c>
      <c r="B71" s="178"/>
      <c r="C71" s="178" t="s">
        <v>221</v>
      </c>
    </row>
    <row r="72" spans="1:7" ht="21">
      <c r="A72" s="178" t="s">
        <v>246</v>
      </c>
      <c r="B72" s="178"/>
      <c r="C72" s="178" t="s">
        <v>221</v>
      </c>
      <c r="D72" s="155"/>
      <c r="E72" s="274"/>
      <c r="F72" s="274"/>
      <c r="G72" s="274"/>
    </row>
    <row r="73" spans="1:7" ht="21">
      <c r="A73" s="178" t="s">
        <v>247</v>
      </c>
      <c r="B73" s="178"/>
      <c r="C73" s="178"/>
      <c r="E73" s="274"/>
      <c r="F73" s="274"/>
      <c r="G73" s="274"/>
    </row>
    <row r="74" spans="1:7" ht="21">
      <c r="A74" s="178" t="s">
        <v>248</v>
      </c>
      <c r="B74" s="178"/>
      <c r="C74" s="178"/>
      <c r="D74" s="152"/>
      <c r="E74" s="154"/>
      <c r="F74" s="154"/>
      <c r="G74" s="154"/>
    </row>
    <row r="75" spans="1:7" ht="21">
      <c r="A75" s="178" t="s">
        <v>249</v>
      </c>
      <c r="B75" s="178"/>
      <c r="C75" s="178"/>
    </row>
    <row r="76" spans="1:7" ht="21.75" thickBot="1">
      <c r="A76" s="178" t="s">
        <v>250</v>
      </c>
      <c r="B76" s="178"/>
      <c r="C76" s="178"/>
      <c r="D76" s="151"/>
    </row>
    <row r="77" spans="1:7" ht="30">
      <c r="A77" s="279" t="s">
        <v>251</v>
      </c>
      <c r="B77" s="280"/>
      <c r="C77" s="281"/>
      <c r="D77" s="188"/>
      <c r="E77" s="188"/>
      <c r="F77" s="188"/>
      <c r="G77" s="188"/>
    </row>
    <row r="78" spans="1:7" ht="25.5">
      <c r="A78" s="276" t="s">
        <v>252</v>
      </c>
      <c r="B78" s="277"/>
      <c r="C78" s="278"/>
      <c r="G78" s="148"/>
    </row>
    <row r="79" spans="1:7" ht="21">
      <c r="A79" s="178" t="s">
        <v>253</v>
      </c>
      <c r="B79" s="178"/>
      <c r="C79" s="178" t="s">
        <v>47</v>
      </c>
      <c r="D79" s="148"/>
      <c r="E79" s="148"/>
      <c r="F79" s="148"/>
      <c r="G79" s="148"/>
    </row>
    <row r="80" spans="1:7" ht="21">
      <c r="A80" s="178" t="s">
        <v>254</v>
      </c>
      <c r="B80" s="178"/>
      <c r="C80" s="178" t="s">
        <v>47</v>
      </c>
      <c r="D80" s="148"/>
      <c r="E80" s="148"/>
      <c r="F80" s="148"/>
      <c r="G80" s="148"/>
    </row>
    <row r="81" spans="1:11" ht="21">
      <c r="A81" s="178" t="s">
        <v>255</v>
      </c>
      <c r="B81" s="178"/>
      <c r="C81" s="178" t="s">
        <v>47</v>
      </c>
      <c r="D81" s="148"/>
      <c r="E81" s="148"/>
      <c r="F81" s="148"/>
      <c r="G81" s="148"/>
    </row>
    <row r="82" spans="1:11" ht="21.75" thickBot="1">
      <c r="A82" s="178" t="s">
        <v>256</v>
      </c>
      <c r="B82" s="178"/>
      <c r="C82" s="178"/>
      <c r="E82" s="275"/>
      <c r="F82" s="275"/>
      <c r="G82" s="275"/>
    </row>
    <row r="83" spans="1:11" ht="30">
      <c r="A83" s="270" t="s">
        <v>272</v>
      </c>
      <c r="B83" s="271"/>
      <c r="C83" s="272"/>
      <c r="D83" s="187"/>
      <c r="E83" s="187"/>
      <c r="F83" s="187"/>
      <c r="G83" s="187"/>
    </row>
    <row r="84" spans="1:11" ht="21">
      <c r="A84" s="178" t="s">
        <v>273</v>
      </c>
      <c r="B84" s="178"/>
      <c r="C84" s="178"/>
    </row>
    <row r="85" spans="1:11" ht="21">
      <c r="A85" s="178" t="s">
        <v>269</v>
      </c>
      <c r="B85" s="178">
        <f>B15</f>
        <v>0</v>
      </c>
      <c r="C85" s="178" t="s">
        <v>44</v>
      </c>
      <c r="D85" s="168"/>
      <c r="E85" s="168"/>
      <c r="F85" s="169"/>
      <c r="G85" s="169"/>
    </row>
    <row r="86" spans="1:11" ht="21">
      <c r="A86" s="178" t="s">
        <v>274</v>
      </c>
      <c r="B86" s="178"/>
      <c r="C86" s="178"/>
    </row>
    <row r="87" spans="1:11" ht="21.75" thickBot="1">
      <c r="A87" s="178" t="s">
        <v>270</v>
      </c>
      <c r="B87" s="178"/>
      <c r="C87" s="178" t="s">
        <v>271</v>
      </c>
      <c r="D87" s="168"/>
      <c r="E87" s="168"/>
      <c r="F87" s="149"/>
      <c r="G87" s="149"/>
    </row>
    <row r="88" spans="1:11" ht="30">
      <c r="A88" s="270" t="s">
        <v>275</v>
      </c>
      <c r="B88" s="271"/>
      <c r="C88" s="272"/>
      <c r="D88" s="186"/>
      <c r="E88" s="186"/>
      <c r="F88" s="186"/>
      <c r="G88" s="186"/>
      <c r="J88" s="3" t="s">
        <v>186</v>
      </c>
      <c r="K88" s="3" t="e">
        <f>(B26*SQRT(B26^2+B12^2-(B24-B25)^2)-B12*(B24-B25))/(B26^2+B12^2)</f>
        <v>#DIV/0!</v>
      </c>
    </row>
    <row r="89" spans="1:11" ht="26.25">
      <c r="A89" s="267" t="s">
        <v>276</v>
      </c>
      <c r="B89" s="268"/>
      <c r="C89" s="269"/>
      <c r="D89" s="173"/>
      <c r="E89" s="173"/>
      <c r="F89" s="173"/>
      <c r="G89" s="173"/>
      <c r="H89" s="136"/>
      <c r="J89" s="137" t="s">
        <v>187</v>
      </c>
      <c r="K89" s="3" t="e">
        <f>ASIN(K88)*180/PI()</f>
        <v>#DIV/0!</v>
      </c>
    </row>
    <row r="90" spans="1:11" ht="21">
      <c r="A90" s="178" t="s">
        <v>277</v>
      </c>
      <c r="B90" s="178" t="s">
        <v>325</v>
      </c>
      <c r="C90" s="178"/>
      <c r="H90" s="136"/>
      <c r="J90" s="123"/>
    </row>
    <row r="91" spans="1:11" ht="21">
      <c r="A91" s="178" t="s">
        <v>279</v>
      </c>
      <c r="B91" s="178"/>
      <c r="C91" s="178"/>
      <c r="D91" s="172"/>
      <c r="E91" s="172"/>
      <c r="F91" s="172"/>
      <c r="G91" s="172"/>
      <c r="H91" s="136"/>
      <c r="J91" s="123"/>
    </row>
    <row r="92" spans="1:11" ht="21">
      <c r="A92" s="178" t="s">
        <v>282</v>
      </c>
      <c r="B92" s="178"/>
      <c r="C92" s="178"/>
      <c r="D92" s="172"/>
      <c r="E92" s="170"/>
      <c r="F92" s="170"/>
      <c r="G92" s="170"/>
      <c r="H92" s="136"/>
      <c r="J92" s="123"/>
    </row>
    <row r="93" spans="1:11" ht="21">
      <c r="A93" s="178" t="s">
        <v>283</v>
      </c>
      <c r="B93" s="178"/>
      <c r="C93" s="178"/>
      <c r="D93" s="171"/>
      <c r="F93" s="171"/>
      <c r="H93" s="136"/>
      <c r="J93" s="123"/>
    </row>
    <row r="94" spans="1:11" ht="26.25">
      <c r="A94" s="267" t="s">
        <v>284</v>
      </c>
      <c r="B94" s="268"/>
      <c r="C94" s="269"/>
      <c r="D94" s="174"/>
      <c r="E94" s="174"/>
      <c r="F94" s="174"/>
      <c r="G94" s="174"/>
      <c r="H94" s="136"/>
      <c r="J94" s="123"/>
    </row>
    <row r="95" spans="1:11" ht="21">
      <c r="A95" s="178" t="s">
        <v>285</v>
      </c>
      <c r="B95" s="178"/>
      <c r="C95" s="178"/>
      <c r="D95" s="161"/>
      <c r="F95" s="175"/>
      <c r="G95" s="175"/>
      <c r="H95" s="136"/>
      <c r="J95" s="123"/>
    </row>
    <row r="96" spans="1:11" ht="21">
      <c r="A96" s="178" t="s">
        <v>269</v>
      </c>
      <c r="B96" s="178">
        <f>B10</f>
        <v>0</v>
      </c>
      <c r="C96" s="178" t="s">
        <v>47</v>
      </c>
      <c r="D96" s="161"/>
      <c r="E96" s="161"/>
      <c r="F96" s="161"/>
      <c r="G96" s="161"/>
      <c r="H96" s="136"/>
      <c r="J96" s="123"/>
    </row>
    <row r="97" spans="1:10" ht="21">
      <c r="A97" s="178" t="s">
        <v>259</v>
      </c>
      <c r="B97" s="178">
        <v>1</v>
      </c>
      <c r="C97" s="178"/>
      <c r="D97" s="161"/>
      <c r="E97" s="161"/>
      <c r="F97" s="161"/>
      <c r="G97" s="161"/>
      <c r="H97" s="136"/>
      <c r="J97" s="123"/>
    </row>
    <row r="98" spans="1:10" ht="21.75" thickBot="1">
      <c r="A98" s="260" t="s">
        <v>286</v>
      </c>
      <c r="B98" s="178"/>
      <c r="C98" s="178"/>
      <c r="D98" s="273"/>
      <c r="E98" s="273"/>
      <c r="F98" s="273"/>
      <c r="G98" s="273"/>
      <c r="H98" s="136"/>
      <c r="J98" s="123"/>
    </row>
    <row r="99" spans="1:10" ht="30">
      <c r="A99" s="270" t="s">
        <v>291</v>
      </c>
      <c r="B99" s="271"/>
      <c r="C99" s="272"/>
      <c r="D99" s="185"/>
      <c r="E99" s="185"/>
      <c r="F99" s="185"/>
      <c r="G99" s="185"/>
    </row>
    <row r="100" spans="1:10" ht="21">
      <c r="A100" s="177" t="s">
        <v>292</v>
      </c>
      <c r="B100" s="178"/>
      <c r="C100" s="178" t="s">
        <v>47</v>
      </c>
      <c r="E100" s="179"/>
      <c r="F100" s="175"/>
      <c r="G100" s="175"/>
    </row>
    <row r="101" spans="1:10" ht="21">
      <c r="A101" s="178" t="s">
        <v>293</v>
      </c>
      <c r="B101" s="178"/>
      <c r="C101" s="178"/>
      <c r="D101" s="179"/>
      <c r="E101" s="179"/>
      <c r="F101" s="175"/>
      <c r="G101" s="175"/>
    </row>
    <row r="102" spans="1:10" ht="21">
      <c r="A102" s="178" t="s">
        <v>294</v>
      </c>
      <c r="B102" s="178"/>
      <c r="C102" s="178"/>
      <c r="D102" s="161"/>
      <c r="E102" s="175"/>
      <c r="F102" s="175"/>
      <c r="G102" s="175"/>
    </row>
    <row r="103" spans="1:10" ht="21">
      <c r="A103" s="178" t="s">
        <v>295</v>
      </c>
      <c r="B103" s="178"/>
      <c r="C103" s="178" t="s">
        <v>47</v>
      </c>
      <c r="D103" s="161"/>
      <c r="E103" s="175"/>
      <c r="F103" s="175"/>
      <c r="G103" s="175"/>
    </row>
    <row r="104" spans="1:10" ht="21">
      <c r="A104" s="178" t="s">
        <v>289</v>
      </c>
      <c r="B104" s="178" t="e">
        <f>(B106-B105)/B102</f>
        <v>#DIV/0!</v>
      </c>
      <c r="C104" s="178" t="s">
        <v>193</v>
      </c>
    </row>
    <row r="105" spans="1:10" ht="21">
      <c r="A105" s="178" t="s">
        <v>290</v>
      </c>
      <c r="B105" s="178"/>
      <c r="C105" s="178" t="s">
        <v>193</v>
      </c>
      <c r="D105" s="180"/>
      <c r="E105" s="180"/>
      <c r="F105" s="180"/>
      <c r="G105" s="180"/>
    </row>
    <row r="106" spans="1:10" ht="21.75" thickBot="1">
      <c r="A106" s="178" t="s">
        <v>296</v>
      </c>
      <c r="B106" s="178">
        <f>D3</f>
        <v>0</v>
      </c>
      <c r="C106" s="178" t="s">
        <v>193</v>
      </c>
      <c r="E106" s="180"/>
      <c r="F106" s="180"/>
      <c r="G106" s="180"/>
    </row>
    <row r="107" spans="1:10" ht="30">
      <c r="A107" s="282" t="s">
        <v>298</v>
      </c>
      <c r="B107" s="283"/>
      <c r="C107" s="284"/>
      <c r="D107" s="183"/>
      <c r="E107" s="183"/>
      <c r="F107" s="183"/>
      <c r="G107" s="183"/>
    </row>
    <row r="108" spans="1:10" ht="21">
      <c r="A108" s="178" t="s">
        <v>273</v>
      </c>
      <c r="B108" s="178"/>
      <c r="C108" s="178"/>
      <c r="E108" s="148"/>
      <c r="F108" s="148"/>
      <c r="G108" s="148"/>
    </row>
    <row r="109" spans="1:10" ht="21">
      <c r="A109" s="178" t="s">
        <v>299</v>
      </c>
      <c r="B109" s="178"/>
      <c r="C109" s="178"/>
      <c r="D109" s="148"/>
      <c r="E109" s="148"/>
      <c r="F109" s="148"/>
      <c r="G109" s="148"/>
    </row>
    <row r="110" spans="1:10" ht="21">
      <c r="A110" s="178" t="s">
        <v>322</v>
      </c>
      <c r="B110" s="178">
        <f>B18</f>
        <v>0</v>
      </c>
      <c r="C110" s="178" t="s">
        <v>44</v>
      </c>
      <c r="D110" s="148"/>
      <c r="F110" s="180"/>
      <c r="G110" s="180"/>
    </row>
    <row r="111" spans="1:10" ht="21">
      <c r="A111" s="178" t="s">
        <v>323</v>
      </c>
      <c r="B111" s="178"/>
      <c r="C111" s="178" t="s">
        <v>44</v>
      </c>
      <c r="D111" s="148"/>
      <c r="E111" s="148"/>
      <c r="F111" s="180"/>
      <c r="G111" s="180"/>
    </row>
    <row r="112" spans="1:10" ht="21">
      <c r="A112" s="178" t="s">
        <v>324</v>
      </c>
      <c r="B112" s="178"/>
      <c r="C112" s="178" t="s">
        <v>44</v>
      </c>
      <c r="D112" s="148"/>
      <c r="F112" s="180"/>
      <c r="G112" s="180"/>
    </row>
    <row r="113" spans="1:7" ht="21">
      <c r="A113" s="178" t="s">
        <v>323</v>
      </c>
      <c r="B113" s="178"/>
      <c r="C113" s="178" t="s">
        <v>44</v>
      </c>
      <c r="D113" s="148"/>
      <c r="E113" s="148"/>
      <c r="F113" s="180"/>
      <c r="G113" s="180"/>
    </row>
    <row r="114" spans="1:7" ht="21.75" thickBot="1">
      <c r="A114" s="178" t="s">
        <v>287</v>
      </c>
      <c r="B114" s="178">
        <f>B5</f>
        <v>0</v>
      </c>
      <c r="C114" s="178" t="s">
        <v>297</v>
      </c>
    </row>
    <row r="115" spans="1:7" ht="30">
      <c r="A115" s="279" t="s">
        <v>312</v>
      </c>
      <c r="B115" s="280"/>
      <c r="C115" s="281"/>
      <c r="D115" s="184"/>
      <c r="E115" s="184"/>
      <c r="F115" s="184"/>
      <c r="G115" s="184"/>
    </row>
    <row r="116" spans="1:7" ht="26.25">
      <c r="A116" s="267" t="s">
        <v>305</v>
      </c>
      <c r="B116" s="268"/>
      <c r="C116" s="269"/>
      <c r="D116" s="155"/>
      <c r="F116" s="155"/>
      <c r="G116" s="155"/>
    </row>
    <row r="117" spans="1:7" ht="21">
      <c r="A117" s="178" t="s">
        <v>304</v>
      </c>
      <c r="B117" s="178"/>
      <c r="C117" s="178"/>
      <c r="D117" s="155"/>
      <c r="E117" s="151"/>
      <c r="F117" s="155"/>
      <c r="G117" s="155"/>
    </row>
    <row r="118" spans="1:7" ht="21">
      <c r="A118" s="178" t="s">
        <v>306</v>
      </c>
      <c r="B118" s="178"/>
      <c r="C118" s="178"/>
      <c r="D118" s="155"/>
      <c r="E118" s="151"/>
      <c r="F118" s="155"/>
      <c r="G118" s="155"/>
    </row>
    <row r="119" spans="1:7" ht="21">
      <c r="A119" s="178" t="s">
        <v>307</v>
      </c>
      <c r="B119" s="178"/>
      <c r="C119" s="178"/>
      <c r="D119" s="151"/>
      <c r="F119" s="155"/>
      <c r="G119" s="155"/>
    </row>
    <row r="120" spans="1:7" ht="21">
      <c r="A120" s="178" t="s">
        <v>308</v>
      </c>
      <c r="B120" s="178"/>
      <c r="C120" s="178"/>
      <c r="D120" s="151"/>
      <c r="E120" s="151"/>
      <c r="F120" s="155"/>
      <c r="G120" s="155"/>
    </row>
    <row r="121" spans="1:7" ht="21">
      <c r="A121" s="178" t="s">
        <v>309</v>
      </c>
      <c r="B121" s="178"/>
      <c r="C121" s="178" t="s">
        <v>47</v>
      </c>
      <c r="D121" s="151"/>
      <c r="E121" s="151"/>
      <c r="F121" s="155"/>
      <c r="G121" s="155"/>
    </row>
    <row r="122" spans="1:7" ht="26.25">
      <c r="A122" s="267" t="s">
        <v>310</v>
      </c>
      <c r="B122" s="268"/>
      <c r="C122" s="269"/>
      <c r="D122" s="151"/>
      <c r="F122" s="155"/>
      <c r="G122" s="155"/>
    </row>
    <row r="123" spans="1:7" ht="21">
      <c r="A123" s="178" t="s">
        <v>307</v>
      </c>
      <c r="B123" s="178"/>
      <c r="C123" s="178"/>
      <c r="D123" s="151"/>
      <c r="F123" s="175"/>
      <c r="G123" s="175"/>
    </row>
    <row r="124" spans="1:7" ht="21.75" thickBot="1">
      <c r="A124" s="178" t="s">
        <v>309</v>
      </c>
      <c r="B124" s="178"/>
      <c r="C124" s="178" t="s">
        <v>47</v>
      </c>
      <c r="D124" s="151"/>
      <c r="E124" s="151"/>
      <c r="F124" s="175"/>
      <c r="G124" s="175"/>
    </row>
    <row r="125" spans="1:7" ht="30">
      <c r="A125" s="270" t="s">
        <v>311</v>
      </c>
      <c r="B125" s="271"/>
      <c r="C125" s="272"/>
      <c r="D125" s="183"/>
      <c r="E125" s="183"/>
      <c r="F125" s="183"/>
      <c r="G125" s="183"/>
    </row>
    <row r="126" spans="1:7" ht="21">
      <c r="A126" s="178" t="s">
        <v>313</v>
      </c>
      <c r="B126" s="178"/>
      <c r="C126" s="178"/>
      <c r="D126" s="161"/>
      <c r="E126" s="181"/>
      <c r="F126" s="181"/>
      <c r="G126" s="181"/>
    </row>
    <row r="127" spans="1:7" ht="21.75" thickBot="1">
      <c r="A127" s="178" t="s">
        <v>314</v>
      </c>
      <c r="B127" s="178"/>
      <c r="C127" s="178"/>
      <c r="D127" s="161"/>
      <c r="E127" s="181"/>
      <c r="F127" s="181"/>
      <c r="G127" s="181"/>
    </row>
    <row r="128" spans="1:7" ht="30">
      <c r="A128" s="270" t="s">
        <v>315</v>
      </c>
      <c r="B128" s="271"/>
      <c r="C128" s="272"/>
      <c r="D128" s="182"/>
      <c r="E128" s="182"/>
      <c r="F128" s="182"/>
      <c r="G128" s="182"/>
    </row>
    <row r="129" spans="1:7" ht="21">
      <c r="A129" s="191" t="s">
        <v>273</v>
      </c>
      <c r="B129" s="191"/>
      <c r="C129" s="195"/>
      <c r="D129" s="176"/>
      <c r="F129" s="155"/>
      <c r="G129" s="161"/>
    </row>
    <row r="130" spans="1:7" ht="21">
      <c r="A130" s="191" t="s">
        <v>317</v>
      </c>
      <c r="B130" s="191"/>
      <c r="C130" s="195"/>
    </row>
    <row r="131" spans="1:7" ht="21.75" thickBot="1">
      <c r="A131" s="196" t="s">
        <v>321</v>
      </c>
      <c r="B131" s="196"/>
      <c r="C131" s="197"/>
    </row>
    <row r="132" spans="1:7" ht="21">
      <c r="A132" s="191" t="s">
        <v>337</v>
      </c>
      <c r="B132" s="191"/>
      <c r="C132" s="195"/>
    </row>
    <row r="133" spans="1:7" ht="21">
      <c r="A133" s="191" t="s">
        <v>338</v>
      </c>
      <c r="B133" s="191"/>
      <c r="C133" s="195"/>
    </row>
    <row r="134" spans="1:7" ht="21">
      <c r="A134" s="191" t="s">
        <v>361</v>
      </c>
      <c r="B134" s="191"/>
      <c r="C134" s="195"/>
    </row>
  </sheetData>
  <sheetProtection selectLockedCells="1"/>
  <mergeCells count="25">
    <mergeCell ref="A125:C125"/>
    <mergeCell ref="A128:C128"/>
    <mergeCell ref="A122:C122"/>
    <mergeCell ref="A89:C89"/>
    <mergeCell ref="A94:C94"/>
    <mergeCell ref="A115:C115"/>
    <mergeCell ref="A116:C116"/>
    <mergeCell ref="A107:C107"/>
    <mergeCell ref="A99:C99"/>
    <mergeCell ref="D98:G98"/>
    <mergeCell ref="A88:C88"/>
    <mergeCell ref="A64:C64"/>
    <mergeCell ref="A83:C83"/>
    <mergeCell ref="E72:G72"/>
    <mergeCell ref="E73:G73"/>
    <mergeCell ref="E82:G82"/>
    <mergeCell ref="A78:C78"/>
    <mergeCell ref="A77:C77"/>
    <mergeCell ref="K1:M1"/>
    <mergeCell ref="O1:Q1"/>
    <mergeCell ref="A38:C38"/>
    <mergeCell ref="A62:C62"/>
    <mergeCell ref="A50:C50"/>
    <mergeCell ref="A56:C56"/>
    <mergeCell ref="A46:C46"/>
  </mergeCells>
  <phoneticPr fontId="1" type="noConversion"/>
  <dataValidations xWindow="294" yWindow="519" count="18">
    <dataValidation type="list" allowBlank="1" showInputMessage="1" showErrorMessage="1" sqref="B31 B29">
      <formula1>"دارد,ندارد"</formula1>
    </dataValidation>
    <dataValidation type="list" allowBlank="1" promptTitle="نوع شيار" prompt="نوع شيار را از ليست وارد كنيد" sqref="B30">
      <formula1>"V,U"</formula1>
    </dataValidation>
    <dataValidation type="list" allowBlank="1" showErrorMessage="1" promptTitle="تعيين نسبت تبديل " prompt="از ليست مقابل نسبت تبديل مورد نظر را وارد كنيد" sqref="B27">
      <formula1>"1,2,3,4"</formula1>
    </dataValidation>
    <dataValidation type="list" allowBlank="1" showInputMessage="1" sqref="B28">
      <formula1>"50,45,40,35"</formula1>
    </dataValidation>
    <dataValidation type="list" allowBlank="1" showErrorMessage="1" promptTitle="نوع ترمز ايمني" prompt="نوع ترمز ايمني را انتخاب كنيد" sqref="B19">
      <formula1>"تدريجي,لحظه اي"</formula1>
    </dataValidation>
    <dataValidation allowBlank="1" showErrorMessage="1" promptTitle="مقدار اورهد" prompt="مقدار اورهد را بر حسب سانتيمتر وارد كنيد" sqref="B20"/>
    <dataValidation allowBlank="1" showErrorMessage="1" promptTitle="عمق چاهك" prompt="عمق چاهك را بر حسب سانتيمتر وارد كنيد" sqref="B21"/>
    <dataValidation type="whole" operator="lessThan" allowBlank="1" showErrorMessage="1" promptTitle="زاويه پيچش" prompt="زاويه پيچش را وارد كنيد" sqref="B10">
      <formula1>100</formula1>
    </dataValidation>
    <dataValidation allowBlank="1" promptTitle="سرعت كابين" prompt="سرعت كابين را وارد كنيد" sqref="B17"/>
    <dataValidation type="list" errorStyle="information" allowBlank="1" errorTitle="تعداد سيم بكسل بيشتر از 6 است" error="استفاده از اين سيم بكسل مجاز نمي باشد، از سيم بكسل با شماره بالاتر استفاده كنيد" promptTitle="تعداد سيم بكسل" prompt="تعداد سيم بكسل بايد كمتر از 6 عدد باشد" sqref="B14">
      <formula1>"3,4,5,6"</formula1>
    </dataValidation>
    <dataValidation type="list" allowBlank="1" showErrorMessage="1" promptTitle="نوع ريل" prompt="نوع ريل را از ليست مقابل انتخاب كنيد" sqref="B18">
      <formula1>$M$2:$M$4</formula1>
    </dataValidation>
    <dataValidation type="whole" operator="lessThan" allowBlank="1" showInputMessage="1" showErrorMessage="1" sqref="B9">
      <formula1>100</formula1>
    </dataValidation>
    <dataValidation type="list" allowBlank="1" promptTitle="نوع موتور" prompt="نوع موتور را مشخص كنيد" sqref="B6">
      <formula1>$I$2:$I$13</formula1>
    </dataValidation>
    <dataValidation type="whole" operator="lessThan" allowBlank="1" showErrorMessage="1" promptTitle="فاصله بين دو براكت" prompt="فاصله بين دو براكت را وارد كنيد" sqref="B5">
      <formula1>1000</formula1>
    </dataValidation>
    <dataValidation type="list" allowBlank="1" promptTitle="تعيين تعداد طبقات" prompt="از ليست مقابل طبقات مورد نظر را وارد كنيد" sqref="B2">
      <formula1>"1,2,3,4,5,6,7,8,9,10,11,12,13,14,15,16,17,18,19,20,21,22,23,24,25"</formula1>
    </dataValidation>
    <dataValidation type="list" allowBlank="1" promptTitle="تعيين ظرفيت كابين" prompt="از ليست مقابل ظرفيت كابين را انتخاب كنيد" sqref="B3">
      <formula1>"1,2,3,4,5,6,7,8,9,10,11,12,13,14,15,16,17,18,19,20"</formula1>
    </dataValidation>
    <dataValidation type="list" allowBlank="1" promptTitle="نوع موتور" prompt="نوع موتور را مشخص كنيد" sqref="B7">
      <formula1>$J$2:$J$13</formula1>
    </dataValidation>
    <dataValidation type="list" allowBlank="1" showInputMessage="1" showErrorMessage="1" sqref="B112">
      <formula1>$Q$2:$Q$3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294" yWindow="519" count="1">
        <x14:dataValidation type="list" allowBlank="1" showInputMessage="1" showErrorMessage="1" promptTitle="نوع سيم بكسل" prompt="سيم بكسل مورد نظر را از ليست انتخاب كنيد">
          <x14:formula1>
            <xm:f>'مشخصات سيم بكسلها'!$B$1:$G$1</xm:f>
          </x14:formula1>
          <xm:sqref>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5"/>
  <sheetViews>
    <sheetView rightToLeft="1" workbookViewId="0">
      <selection activeCell="F7" sqref="F7"/>
    </sheetView>
  </sheetViews>
  <sheetFormatPr defaultRowHeight="12.75"/>
  <cols>
    <col min="1" max="1" width="18.42578125" customWidth="1"/>
  </cols>
  <sheetData>
    <row r="1" spans="1:7">
      <c r="A1" s="1" t="s">
        <v>20</v>
      </c>
      <c r="B1" s="1">
        <v>8</v>
      </c>
      <c r="C1" s="1">
        <v>9</v>
      </c>
      <c r="D1" s="1">
        <v>10</v>
      </c>
      <c r="E1" s="1">
        <v>11</v>
      </c>
      <c r="F1" s="1">
        <v>12</v>
      </c>
      <c r="G1" s="1">
        <v>13</v>
      </c>
    </row>
    <row r="2" spans="1:7">
      <c r="A2" s="1" t="s">
        <v>21</v>
      </c>
      <c r="B2" s="2">
        <v>8</v>
      </c>
      <c r="C2" s="2">
        <v>9</v>
      </c>
      <c r="D2" s="2">
        <v>10</v>
      </c>
      <c r="E2" s="2">
        <v>11</v>
      </c>
      <c r="F2" s="2">
        <v>12</v>
      </c>
      <c r="G2" s="2">
        <v>13</v>
      </c>
    </row>
    <row r="3" spans="1:7">
      <c r="A3" s="1" t="s">
        <v>9</v>
      </c>
      <c r="B3" s="2">
        <v>30400</v>
      </c>
      <c r="C3" s="2">
        <v>38400</v>
      </c>
      <c r="D3" s="2">
        <v>43000</v>
      </c>
      <c r="E3" s="2">
        <v>57400</v>
      </c>
      <c r="F3" s="2">
        <v>68400</v>
      </c>
      <c r="G3" s="2">
        <v>80000</v>
      </c>
    </row>
    <row r="4" spans="1:7">
      <c r="A4" s="1" t="s">
        <v>22</v>
      </c>
      <c r="B4" s="2">
        <v>0.21</v>
      </c>
      <c r="C4" s="2">
        <v>0.27</v>
      </c>
      <c r="D4" s="2">
        <v>0.34300000000000003</v>
      </c>
      <c r="E4" s="2">
        <v>0.4</v>
      </c>
      <c r="F4" s="2">
        <v>0.48</v>
      </c>
      <c r="G4" s="2">
        <v>0.56000000000000005</v>
      </c>
    </row>
    <row r="15" spans="1:7">
      <c r="A15" t="s">
        <v>25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9"/>
  <sheetViews>
    <sheetView rightToLeft="1" topLeftCell="M1" workbookViewId="0">
      <selection activeCell="N17" sqref="N17"/>
    </sheetView>
  </sheetViews>
  <sheetFormatPr defaultRowHeight="12.75"/>
  <cols>
    <col min="1" max="1" width="18.140625" customWidth="1"/>
  </cols>
  <sheetData>
    <row r="1" spans="1:27" ht="18.75" thickBot="1">
      <c r="A1" s="1" t="s">
        <v>10</v>
      </c>
      <c r="B1" s="1" t="s">
        <v>23</v>
      </c>
      <c r="C1" s="1" t="s">
        <v>24</v>
      </c>
      <c r="Q1" s="285" t="s">
        <v>40</v>
      </c>
      <c r="R1" s="286"/>
      <c r="S1" s="286"/>
      <c r="T1" s="286"/>
      <c r="U1" s="286"/>
      <c r="V1" s="286"/>
      <c r="W1" s="286"/>
      <c r="X1" s="286"/>
      <c r="Y1" s="286"/>
      <c r="Z1" s="286"/>
      <c r="AA1" s="287"/>
    </row>
    <row r="2" spans="1:27" ht="15.75" thickBot="1">
      <c r="A2" s="1" t="s">
        <v>11</v>
      </c>
      <c r="B2">
        <v>951</v>
      </c>
      <c r="C2">
        <v>1725</v>
      </c>
      <c r="E2">
        <v>70</v>
      </c>
      <c r="F2">
        <v>71</v>
      </c>
      <c r="G2">
        <v>72</v>
      </c>
      <c r="H2">
        <v>73</v>
      </c>
      <c r="I2">
        <v>74</v>
      </c>
      <c r="J2">
        <v>75</v>
      </c>
      <c r="K2">
        <v>76</v>
      </c>
      <c r="L2">
        <v>77</v>
      </c>
      <c r="M2">
        <v>78</v>
      </c>
      <c r="N2">
        <v>79</v>
      </c>
      <c r="Q2" s="18" t="s">
        <v>41</v>
      </c>
      <c r="R2" s="19">
        <v>0</v>
      </c>
      <c r="S2" s="20">
        <v>1</v>
      </c>
      <c r="T2" s="19">
        <v>2</v>
      </c>
      <c r="U2" s="20">
        <v>3</v>
      </c>
      <c r="V2" s="21">
        <v>4</v>
      </c>
      <c r="W2" s="22">
        <v>5</v>
      </c>
      <c r="X2" s="19">
        <v>6</v>
      </c>
      <c r="Y2" s="20">
        <v>7</v>
      </c>
      <c r="Z2" s="19">
        <v>8</v>
      </c>
      <c r="AA2" s="23">
        <v>9</v>
      </c>
    </row>
    <row r="3" spans="1:27" ht="14.25">
      <c r="A3" s="1" t="s">
        <v>12</v>
      </c>
      <c r="B3">
        <v>14</v>
      </c>
      <c r="C3">
        <v>17.5</v>
      </c>
      <c r="E3" s="25">
        <v>1.41</v>
      </c>
      <c r="F3" s="26">
        <v>1.42</v>
      </c>
      <c r="G3" s="25">
        <v>1.44</v>
      </c>
      <c r="H3" s="26">
        <v>1.45</v>
      </c>
      <c r="I3" s="27">
        <v>1.46</v>
      </c>
      <c r="J3" s="28">
        <v>1.48</v>
      </c>
      <c r="K3" s="25">
        <v>1.49</v>
      </c>
      <c r="L3" s="26">
        <v>1.5</v>
      </c>
      <c r="M3" s="25">
        <v>1.52</v>
      </c>
      <c r="N3" s="29">
        <v>1.53</v>
      </c>
      <c r="Q3" s="24">
        <v>20</v>
      </c>
      <c r="R3" s="25">
        <v>1.04</v>
      </c>
      <c r="S3" s="26">
        <v>1.04</v>
      </c>
      <c r="T3" s="25">
        <v>1.04</v>
      </c>
      <c r="U3" s="26">
        <v>1.05</v>
      </c>
      <c r="V3" s="27">
        <v>1.05</v>
      </c>
      <c r="W3" s="28">
        <v>1.06</v>
      </c>
      <c r="X3" s="25">
        <v>1.06</v>
      </c>
      <c r="Y3" s="26">
        <v>1.07</v>
      </c>
      <c r="Z3" s="25">
        <v>1.07</v>
      </c>
      <c r="AA3" s="29">
        <v>1.08</v>
      </c>
    </row>
    <row r="4" spans="1:27" ht="14.25">
      <c r="A4" s="1" t="s">
        <v>13</v>
      </c>
      <c r="B4">
        <v>370</v>
      </c>
      <c r="C4">
        <v>370</v>
      </c>
      <c r="E4">
        <v>80</v>
      </c>
      <c r="F4">
        <v>81</v>
      </c>
      <c r="G4">
        <v>82</v>
      </c>
      <c r="H4">
        <v>83</v>
      </c>
      <c r="I4">
        <v>84</v>
      </c>
      <c r="J4">
        <v>85</v>
      </c>
      <c r="K4">
        <v>86</v>
      </c>
      <c r="L4">
        <v>87</v>
      </c>
      <c r="M4">
        <v>88</v>
      </c>
      <c r="N4">
        <v>89</v>
      </c>
      <c r="Q4" s="24">
        <v>30</v>
      </c>
      <c r="R4" s="25">
        <v>1.08</v>
      </c>
      <c r="S4" s="26">
        <v>1.08</v>
      </c>
      <c r="T4" s="25">
        <v>1.0900000000000001</v>
      </c>
      <c r="U4" s="26">
        <v>1.1000000000000001</v>
      </c>
      <c r="V4" s="27">
        <v>1.1000000000000001</v>
      </c>
      <c r="W4" s="28">
        <v>1.1100000000000001</v>
      </c>
      <c r="X4" s="25">
        <v>1.1100000000000001</v>
      </c>
      <c r="Y4" s="26">
        <v>1.1200000000000001</v>
      </c>
      <c r="Z4" s="25">
        <v>1.1299999999999999</v>
      </c>
      <c r="AA4" s="29">
        <v>1.1299999999999999</v>
      </c>
    </row>
    <row r="5" spans="1:27" ht="15" thickBot="1">
      <c r="A5" s="1" t="s">
        <v>14</v>
      </c>
      <c r="B5">
        <v>7.47</v>
      </c>
      <c r="C5">
        <v>13.55</v>
      </c>
      <c r="E5" s="25">
        <v>1.55</v>
      </c>
      <c r="F5" s="26">
        <v>1.56</v>
      </c>
      <c r="G5" s="25">
        <v>1.58</v>
      </c>
      <c r="H5" s="26">
        <v>1.59</v>
      </c>
      <c r="I5" s="27">
        <v>1.61</v>
      </c>
      <c r="J5" s="28">
        <v>1.62</v>
      </c>
      <c r="K5" s="25">
        <v>1.64</v>
      </c>
      <c r="L5" s="26">
        <v>1.66</v>
      </c>
      <c r="M5" s="25">
        <v>1.68</v>
      </c>
      <c r="N5" s="29">
        <v>1.69</v>
      </c>
      <c r="Q5" s="24">
        <v>40</v>
      </c>
      <c r="R5" s="25">
        <v>1.1399999999999999</v>
      </c>
      <c r="S5" s="26">
        <v>1.1399999999999999</v>
      </c>
      <c r="T5" s="25">
        <v>1.1499999999999999</v>
      </c>
      <c r="U5" s="26">
        <v>1.1599999999999999</v>
      </c>
      <c r="V5" s="27">
        <v>1.1599999999999999</v>
      </c>
      <c r="W5" s="28">
        <v>1.17</v>
      </c>
      <c r="X5" s="25">
        <v>1.18</v>
      </c>
      <c r="Y5" s="26">
        <v>1.19</v>
      </c>
      <c r="Z5" s="25">
        <v>1.19</v>
      </c>
      <c r="AA5" s="29">
        <v>1.2</v>
      </c>
    </row>
    <row r="6" spans="1:27" ht="14.25">
      <c r="E6">
        <v>90</v>
      </c>
      <c r="F6">
        <v>91</v>
      </c>
      <c r="G6">
        <v>92</v>
      </c>
      <c r="H6">
        <v>93</v>
      </c>
      <c r="I6">
        <v>94</v>
      </c>
      <c r="J6">
        <v>95</v>
      </c>
      <c r="K6">
        <v>96</v>
      </c>
      <c r="L6">
        <v>97</v>
      </c>
      <c r="M6">
        <v>98</v>
      </c>
      <c r="N6">
        <v>99</v>
      </c>
      <c r="Q6" s="30">
        <v>50</v>
      </c>
      <c r="R6" s="31">
        <v>1.21</v>
      </c>
      <c r="S6" s="32">
        <v>1.22</v>
      </c>
      <c r="T6" s="31">
        <v>1.23</v>
      </c>
      <c r="U6" s="32">
        <v>1.23</v>
      </c>
      <c r="V6" s="33">
        <v>1.24</v>
      </c>
      <c r="W6" s="34">
        <v>1.25</v>
      </c>
      <c r="X6" s="31">
        <v>1.26</v>
      </c>
      <c r="Y6" s="32">
        <v>1.27</v>
      </c>
      <c r="Z6" s="31">
        <v>1.28</v>
      </c>
      <c r="AA6" s="35">
        <v>1.29</v>
      </c>
    </row>
    <row r="7" spans="1:27" ht="15" thickBot="1">
      <c r="E7" s="37">
        <v>1.71</v>
      </c>
      <c r="F7" s="38">
        <v>1.73</v>
      </c>
      <c r="G7" s="37">
        <v>1.74</v>
      </c>
      <c r="H7" s="38">
        <v>1.76</v>
      </c>
      <c r="I7" s="39">
        <v>1.78</v>
      </c>
      <c r="J7" s="40">
        <v>1.8</v>
      </c>
      <c r="K7" s="37">
        <v>1.82</v>
      </c>
      <c r="L7" s="38">
        <v>1.84</v>
      </c>
      <c r="M7" s="37">
        <v>1.86</v>
      </c>
      <c r="N7" s="41">
        <v>1.88</v>
      </c>
      <c r="Q7" s="24">
        <v>60</v>
      </c>
      <c r="R7" s="25">
        <v>1.3</v>
      </c>
      <c r="S7" s="26">
        <v>1.31</v>
      </c>
      <c r="T7" s="25">
        <v>1.32</v>
      </c>
      <c r="U7" s="26">
        <v>1.33</v>
      </c>
      <c r="V7" s="27">
        <v>1.34</v>
      </c>
      <c r="W7" s="28">
        <v>1.35</v>
      </c>
      <c r="X7" s="25">
        <v>1.36</v>
      </c>
      <c r="Y7" s="26">
        <v>1.37</v>
      </c>
      <c r="Z7" s="25">
        <v>1.39</v>
      </c>
      <c r="AA7" s="29">
        <v>1.4</v>
      </c>
    </row>
    <row r="8" spans="1:27" ht="14.25">
      <c r="A8">
        <v>100</v>
      </c>
      <c r="B8">
        <v>1.9</v>
      </c>
      <c r="E8">
        <v>100</v>
      </c>
      <c r="F8">
        <v>101</v>
      </c>
      <c r="G8">
        <v>102</v>
      </c>
      <c r="H8">
        <v>103</v>
      </c>
      <c r="I8">
        <v>104</v>
      </c>
      <c r="J8">
        <v>105</v>
      </c>
      <c r="K8">
        <v>106</v>
      </c>
      <c r="L8">
        <v>107</v>
      </c>
      <c r="M8">
        <v>108</v>
      </c>
      <c r="N8">
        <v>109</v>
      </c>
      <c r="Q8" s="24">
        <v>70</v>
      </c>
      <c r="R8" s="25">
        <v>1.41</v>
      </c>
      <c r="S8" s="26">
        <v>1.42</v>
      </c>
      <c r="T8" s="25">
        <v>1.44</v>
      </c>
      <c r="U8" s="26">
        <v>1.45</v>
      </c>
      <c r="V8" s="27">
        <v>1.46</v>
      </c>
      <c r="W8" s="28">
        <v>1.48</v>
      </c>
      <c r="X8" s="25">
        <v>1.49</v>
      </c>
      <c r="Y8" s="26">
        <v>1.5</v>
      </c>
      <c r="Z8" s="25">
        <v>1.52</v>
      </c>
      <c r="AA8" s="29">
        <v>1.53</v>
      </c>
    </row>
    <row r="9" spans="1:27" ht="14.25">
      <c r="A9">
        <v>101</v>
      </c>
      <c r="B9">
        <v>1.92</v>
      </c>
      <c r="E9" s="25">
        <v>1.9</v>
      </c>
      <c r="F9" s="26">
        <v>1.92</v>
      </c>
      <c r="G9" s="25">
        <v>1.94</v>
      </c>
      <c r="H9" s="26">
        <v>1.96</v>
      </c>
      <c r="I9" s="27">
        <v>1.98</v>
      </c>
      <c r="J9" s="28">
        <v>2</v>
      </c>
      <c r="K9" s="25">
        <v>2.02</v>
      </c>
      <c r="L9" s="26">
        <v>2.0499999999999998</v>
      </c>
      <c r="M9" s="25">
        <v>2.0699999999999998</v>
      </c>
      <c r="N9" s="29">
        <v>2.09</v>
      </c>
      <c r="Q9" s="24">
        <v>80</v>
      </c>
      <c r="R9" s="25">
        <v>1.55</v>
      </c>
      <c r="S9" s="26">
        <v>1.56</v>
      </c>
      <c r="T9" s="25">
        <v>1.58</v>
      </c>
      <c r="U9" s="26">
        <v>1.59</v>
      </c>
      <c r="V9" s="27">
        <v>1.61</v>
      </c>
      <c r="W9" s="28">
        <v>1.62</v>
      </c>
      <c r="X9" s="25">
        <v>1.64</v>
      </c>
      <c r="Y9" s="26">
        <v>1.66</v>
      </c>
      <c r="Z9" s="25">
        <v>1.68</v>
      </c>
      <c r="AA9" s="29">
        <v>1.69</v>
      </c>
    </row>
    <row r="10" spans="1:27" ht="15" thickBot="1">
      <c r="A10">
        <v>102</v>
      </c>
      <c r="B10">
        <v>1.94</v>
      </c>
      <c r="E10">
        <v>110</v>
      </c>
      <c r="F10">
        <v>111</v>
      </c>
      <c r="G10">
        <v>112</v>
      </c>
      <c r="H10">
        <v>113</v>
      </c>
      <c r="I10">
        <v>114</v>
      </c>
      <c r="J10">
        <v>115</v>
      </c>
      <c r="K10">
        <v>116</v>
      </c>
      <c r="L10">
        <v>117</v>
      </c>
      <c r="M10">
        <v>118</v>
      </c>
      <c r="N10">
        <v>119</v>
      </c>
      <c r="Q10" s="36">
        <v>90</v>
      </c>
      <c r="R10" s="37">
        <v>1.71</v>
      </c>
      <c r="S10" s="38">
        <v>1.73</v>
      </c>
      <c r="T10" s="37">
        <v>1.74</v>
      </c>
      <c r="U10" s="38">
        <v>1.76</v>
      </c>
      <c r="V10" s="39">
        <v>1.78</v>
      </c>
      <c r="W10" s="40">
        <v>1.8</v>
      </c>
      <c r="X10" s="37">
        <v>1.82</v>
      </c>
      <c r="Y10" s="38">
        <v>1.84</v>
      </c>
      <c r="Z10" s="37">
        <v>1.86</v>
      </c>
      <c r="AA10" s="41">
        <v>1.88</v>
      </c>
    </row>
    <row r="11" spans="1:27" ht="14.25">
      <c r="A11">
        <v>103</v>
      </c>
      <c r="B11">
        <v>1.96</v>
      </c>
      <c r="E11" s="25">
        <v>2.11</v>
      </c>
      <c r="F11" s="26">
        <v>2.14</v>
      </c>
      <c r="G11" s="25">
        <v>2.16</v>
      </c>
      <c r="H11" s="26">
        <v>2.1800000000000002</v>
      </c>
      <c r="I11" s="27">
        <v>2.21</v>
      </c>
      <c r="J11" s="28">
        <v>2.23</v>
      </c>
      <c r="K11" s="25">
        <v>2.27</v>
      </c>
      <c r="L11" s="26">
        <v>2.31</v>
      </c>
      <c r="M11" s="25">
        <v>2.35</v>
      </c>
      <c r="N11" s="29">
        <v>2.39</v>
      </c>
      <c r="Q11" s="24">
        <v>100</v>
      </c>
      <c r="R11" s="25">
        <v>1.9</v>
      </c>
      <c r="S11" s="26">
        <v>1.92</v>
      </c>
      <c r="T11" s="25">
        <v>1.94</v>
      </c>
      <c r="U11" s="26">
        <v>1.96</v>
      </c>
      <c r="V11" s="27">
        <v>1.98</v>
      </c>
      <c r="W11" s="28">
        <v>2</v>
      </c>
      <c r="X11" s="25">
        <v>2.02</v>
      </c>
      <c r="Y11" s="26">
        <v>2.0499999999999998</v>
      </c>
      <c r="Z11" s="25">
        <v>2.0699999999999998</v>
      </c>
      <c r="AA11" s="29">
        <v>2.09</v>
      </c>
    </row>
    <row r="12" spans="1:27" ht="14.25">
      <c r="A12">
        <v>104</v>
      </c>
      <c r="B12">
        <v>1.98</v>
      </c>
      <c r="E12">
        <v>120</v>
      </c>
      <c r="F12">
        <v>121</v>
      </c>
      <c r="G12">
        <v>122</v>
      </c>
      <c r="H12">
        <v>123</v>
      </c>
      <c r="I12">
        <v>124</v>
      </c>
      <c r="J12">
        <v>125</v>
      </c>
      <c r="K12">
        <v>126</v>
      </c>
      <c r="L12">
        <v>127</v>
      </c>
      <c r="M12">
        <v>128</v>
      </c>
      <c r="N12">
        <v>129</v>
      </c>
      <c r="Q12" s="24">
        <v>110</v>
      </c>
      <c r="R12" s="25">
        <v>2.11</v>
      </c>
      <c r="S12" s="26">
        <v>2.14</v>
      </c>
      <c r="T12" s="25">
        <v>2.16</v>
      </c>
      <c r="U12" s="26">
        <v>2.1800000000000002</v>
      </c>
      <c r="V12" s="27">
        <v>2.21</v>
      </c>
      <c r="W12" s="28">
        <v>2.23</v>
      </c>
      <c r="X12" s="25">
        <v>2.27</v>
      </c>
      <c r="Y12" s="26">
        <v>2.31</v>
      </c>
      <c r="Z12" s="25">
        <v>2.35</v>
      </c>
      <c r="AA12" s="29">
        <v>2.39</v>
      </c>
    </row>
    <row r="13" spans="1:27" ht="14.25">
      <c r="A13">
        <v>105</v>
      </c>
      <c r="B13">
        <v>2</v>
      </c>
      <c r="E13" s="25">
        <v>2.4300000000000002</v>
      </c>
      <c r="F13" s="26">
        <v>2.4700000000000002</v>
      </c>
      <c r="G13" s="25">
        <v>2.5099999999999998</v>
      </c>
      <c r="H13" s="26">
        <v>2.5499999999999998</v>
      </c>
      <c r="I13" s="27">
        <v>2.6</v>
      </c>
      <c r="J13" s="28">
        <v>2.64</v>
      </c>
      <c r="K13" s="25">
        <v>2.68</v>
      </c>
      <c r="L13" s="26">
        <v>2.72</v>
      </c>
      <c r="M13" s="25">
        <v>2.77</v>
      </c>
      <c r="N13" s="29">
        <v>2.81</v>
      </c>
      <c r="Q13" s="24">
        <v>120</v>
      </c>
      <c r="R13" s="25">
        <v>2.4300000000000002</v>
      </c>
      <c r="S13" s="26">
        <v>2.4700000000000002</v>
      </c>
      <c r="T13" s="25">
        <v>2.5099999999999998</v>
      </c>
      <c r="U13" s="26">
        <v>2.5499999999999998</v>
      </c>
      <c r="V13" s="27">
        <v>2.6</v>
      </c>
      <c r="W13" s="28">
        <v>2.64</v>
      </c>
      <c r="X13" s="25">
        <v>2.68</v>
      </c>
      <c r="Y13" s="26">
        <v>2.72</v>
      </c>
      <c r="Z13" s="25">
        <v>2.77</v>
      </c>
      <c r="AA13" s="29">
        <v>2.81</v>
      </c>
    </row>
    <row r="14" spans="1:27" ht="14.25">
      <c r="A14">
        <v>106</v>
      </c>
      <c r="B14">
        <v>2.02</v>
      </c>
      <c r="E14">
        <v>130</v>
      </c>
      <c r="F14">
        <v>131</v>
      </c>
      <c r="G14">
        <v>132</v>
      </c>
      <c r="H14">
        <v>133</v>
      </c>
      <c r="I14">
        <v>134</v>
      </c>
      <c r="J14">
        <v>135</v>
      </c>
      <c r="K14">
        <v>136</v>
      </c>
      <c r="L14">
        <v>137</v>
      </c>
      <c r="M14">
        <v>138</v>
      </c>
      <c r="N14">
        <v>139</v>
      </c>
      <c r="Q14" s="24">
        <v>130</v>
      </c>
      <c r="R14" s="25">
        <v>2.85</v>
      </c>
      <c r="S14" s="26">
        <v>2.9</v>
      </c>
      <c r="T14" s="25">
        <v>2.94</v>
      </c>
      <c r="U14" s="26">
        <v>2.99</v>
      </c>
      <c r="V14" s="27">
        <v>3.03</v>
      </c>
      <c r="W14" s="28">
        <v>3.08</v>
      </c>
      <c r="X14" s="25">
        <v>3.12</v>
      </c>
      <c r="Y14" s="26">
        <v>3.17</v>
      </c>
      <c r="Z14" s="25">
        <v>3.22</v>
      </c>
      <c r="AA14" s="29">
        <v>3.26</v>
      </c>
    </row>
    <row r="15" spans="1:27" ht="15" thickBot="1">
      <c r="A15">
        <v>107</v>
      </c>
      <c r="B15">
        <v>2.0499999999999998</v>
      </c>
      <c r="E15" s="25">
        <v>2.85</v>
      </c>
      <c r="F15" s="26">
        <v>2.9</v>
      </c>
      <c r="G15" s="25">
        <v>2.94</v>
      </c>
      <c r="H15" s="26">
        <v>2.99</v>
      </c>
      <c r="I15" s="27">
        <v>3.03</v>
      </c>
      <c r="J15" s="28">
        <v>3.08</v>
      </c>
      <c r="K15" s="25">
        <v>3.12</v>
      </c>
      <c r="L15" s="26">
        <v>3.17</v>
      </c>
      <c r="M15" s="25">
        <v>3.22</v>
      </c>
      <c r="N15" s="29">
        <v>3.26</v>
      </c>
      <c r="Q15" s="24">
        <v>140</v>
      </c>
      <c r="R15" s="25">
        <v>3.31</v>
      </c>
      <c r="S15" s="26">
        <v>3.36</v>
      </c>
      <c r="T15" s="25">
        <v>3.41</v>
      </c>
      <c r="U15" s="26">
        <v>3.45</v>
      </c>
      <c r="V15" s="27">
        <v>3.5</v>
      </c>
      <c r="W15" s="28">
        <v>3.55</v>
      </c>
      <c r="X15" s="25">
        <v>3.6</v>
      </c>
      <c r="Y15" s="26">
        <v>3.65</v>
      </c>
      <c r="Z15" s="25">
        <v>3.7</v>
      </c>
      <c r="AA15" s="29">
        <v>3.75</v>
      </c>
    </row>
    <row r="16" spans="1:27" ht="14.25">
      <c r="A16">
        <v>108</v>
      </c>
      <c r="B16">
        <v>2.0699999999999998</v>
      </c>
      <c r="E16">
        <v>140</v>
      </c>
      <c r="F16">
        <v>141</v>
      </c>
      <c r="G16">
        <v>142</v>
      </c>
      <c r="H16">
        <v>143</v>
      </c>
      <c r="I16">
        <v>144</v>
      </c>
      <c r="J16">
        <v>145</v>
      </c>
      <c r="K16">
        <v>146</v>
      </c>
      <c r="L16">
        <v>147</v>
      </c>
      <c r="M16">
        <v>148</v>
      </c>
      <c r="N16">
        <v>149</v>
      </c>
      <c r="Q16" s="30">
        <v>150</v>
      </c>
      <c r="R16" s="31">
        <v>3.8</v>
      </c>
      <c r="S16" s="32">
        <v>3.85</v>
      </c>
      <c r="T16" s="31">
        <v>3.9</v>
      </c>
      <c r="U16" s="32">
        <v>3.95</v>
      </c>
      <c r="V16" s="33">
        <v>4</v>
      </c>
      <c r="W16" s="34">
        <v>4.0599999999999996</v>
      </c>
      <c r="X16" s="31">
        <v>4.1100000000000003</v>
      </c>
      <c r="Y16" s="32">
        <v>4.16</v>
      </c>
      <c r="Z16" s="31">
        <v>4.22</v>
      </c>
      <c r="AA16" s="35">
        <v>4.2699999999999996</v>
      </c>
    </row>
    <row r="17" spans="1:27" ht="14.25">
      <c r="A17">
        <v>109</v>
      </c>
      <c r="B17">
        <v>2.09</v>
      </c>
      <c r="E17" s="25">
        <v>3.31</v>
      </c>
      <c r="F17" s="26">
        <v>3.36</v>
      </c>
      <c r="G17" s="25">
        <v>3.41</v>
      </c>
      <c r="H17" s="26">
        <v>3.45</v>
      </c>
      <c r="I17" s="27">
        <v>3.5</v>
      </c>
      <c r="J17" s="28">
        <v>3.55</v>
      </c>
      <c r="K17" s="25">
        <v>3.6</v>
      </c>
      <c r="L17" s="26">
        <v>3.65</v>
      </c>
      <c r="M17" s="25">
        <v>3.7</v>
      </c>
      <c r="N17" s="29">
        <v>3.75</v>
      </c>
      <c r="Q17" s="24">
        <v>160</v>
      </c>
      <c r="R17" s="25">
        <v>4.32</v>
      </c>
      <c r="S17" s="26">
        <v>4.38</v>
      </c>
      <c r="T17" s="25">
        <v>4.43</v>
      </c>
      <c r="U17" s="26">
        <v>4.49</v>
      </c>
      <c r="V17" s="27">
        <v>4.54</v>
      </c>
      <c r="W17" s="28">
        <v>4.5999999999999996</v>
      </c>
      <c r="X17" s="25">
        <v>4.6500000000000004</v>
      </c>
      <c r="Y17" s="26">
        <v>4.71</v>
      </c>
      <c r="Z17" s="25">
        <v>4.7699999999999996</v>
      </c>
      <c r="AA17" s="29">
        <v>4.82</v>
      </c>
    </row>
    <row r="18" spans="1:27" ht="15" thickBot="1">
      <c r="A18">
        <v>110</v>
      </c>
      <c r="B18">
        <v>2.11</v>
      </c>
      <c r="E18">
        <v>150</v>
      </c>
      <c r="F18">
        <v>151</v>
      </c>
      <c r="G18">
        <v>152</v>
      </c>
      <c r="H18">
        <v>153</v>
      </c>
      <c r="I18">
        <v>154</v>
      </c>
      <c r="J18">
        <v>155</v>
      </c>
      <c r="K18">
        <v>156</v>
      </c>
      <c r="L18">
        <v>157</v>
      </c>
      <c r="M18">
        <v>158</v>
      </c>
      <c r="N18">
        <v>159</v>
      </c>
      <c r="Q18" s="24">
        <v>170</v>
      </c>
      <c r="R18" s="25">
        <v>4.88</v>
      </c>
      <c r="S18" s="26">
        <v>4.9400000000000004</v>
      </c>
      <c r="T18" s="25">
        <v>5</v>
      </c>
      <c r="U18" s="26">
        <v>5.05</v>
      </c>
      <c r="V18" s="27">
        <v>5.1100000000000003</v>
      </c>
      <c r="W18" s="28">
        <v>5.17</v>
      </c>
      <c r="X18" s="25">
        <v>5.23</v>
      </c>
      <c r="Y18" s="26">
        <v>5.29</v>
      </c>
      <c r="Z18" s="25">
        <v>5.35</v>
      </c>
      <c r="AA18" s="29">
        <v>5.41</v>
      </c>
    </row>
    <row r="19" spans="1:27" ht="14.25">
      <c r="A19">
        <v>111</v>
      </c>
      <c r="B19">
        <v>2.14</v>
      </c>
      <c r="E19" s="31">
        <v>3.8</v>
      </c>
      <c r="F19" s="32">
        <v>3.85</v>
      </c>
      <c r="G19" s="31">
        <v>3.9</v>
      </c>
      <c r="H19" s="32">
        <v>3.95</v>
      </c>
      <c r="I19" s="33">
        <v>4</v>
      </c>
      <c r="J19" s="34">
        <v>4.0599999999999996</v>
      </c>
      <c r="K19" s="31">
        <v>4.1100000000000003</v>
      </c>
      <c r="L19" s="32">
        <v>4.16</v>
      </c>
      <c r="M19" s="31">
        <v>4.22</v>
      </c>
      <c r="N19" s="35">
        <v>4.2699999999999996</v>
      </c>
      <c r="Q19" s="24">
        <v>180</v>
      </c>
      <c r="R19" s="25">
        <v>5.47</v>
      </c>
      <c r="S19" s="26">
        <v>5.53</v>
      </c>
      <c r="T19" s="25">
        <v>5.59</v>
      </c>
      <c r="U19" s="26">
        <v>5.66</v>
      </c>
      <c r="V19" s="27">
        <v>5.72</v>
      </c>
      <c r="W19" s="28">
        <v>5.78</v>
      </c>
      <c r="X19" s="25">
        <v>5.84</v>
      </c>
      <c r="Y19" s="26">
        <v>5.91</v>
      </c>
      <c r="Z19" s="25">
        <v>5.97</v>
      </c>
      <c r="AA19" s="29">
        <v>6.03</v>
      </c>
    </row>
    <row r="20" spans="1:27" ht="15" thickBot="1">
      <c r="A20">
        <v>112</v>
      </c>
      <c r="B20">
        <v>2.16</v>
      </c>
      <c r="E20">
        <v>160</v>
      </c>
      <c r="F20">
        <v>161</v>
      </c>
      <c r="G20">
        <v>162</v>
      </c>
      <c r="H20">
        <v>163</v>
      </c>
      <c r="I20">
        <v>164</v>
      </c>
      <c r="J20">
        <v>165</v>
      </c>
      <c r="K20">
        <v>166</v>
      </c>
      <c r="L20">
        <v>167</v>
      </c>
      <c r="M20">
        <v>168</v>
      </c>
      <c r="N20">
        <v>169</v>
      </c>
      <c r="Q20" s="36">
        <v>190</v>
      </c>
      <c r="R20" s="37">
        <v>6.1</v>
      </c>
      <c r="S20" s="38">
        <v>6.16</v>
      </c>
      <c r="T20" s="37">
        <v>6.23</v>
      </c>
      <c r="U20" s="38">
        <v>6.29</v>
      </c>
      <c r="V20" s="39">
        <v>6.36</v>
      </c>
      <c r="W20" s="40">
        <v>6.42</v>
      </c>
      <c r="X20" s="37">
        <v>6.49</v>
      </c>
      <c r="Y20" s="38">
        <v>6.55</v>
      </c>
      <c r="Z20" s="37">
        <v>6.62</v>
      </c>
      <c r="AA20" s="41">
        <v>6.69</v>
      </c>
    </row>
    <row r="21" spans="1:27" ht="14.25">
      <c r="A21">
        <v>113</v>
      </c>
      <c r="B21">
        <v>2.1800000000000002</v>
      </c>
      <c r="E21" s="25">
        <v>4.32</v>
      </c>
      <c r="F21" s="26">
        <v>4.38</v>
      </c>
      <c r="G21" s="25">
        <v>4.43</v>
      </c>
      <c r="H21" s="26">
        <v>4.49</v>
      </c>
      <c r="I21" s="27">
        <v>4.54</v>
      </c>
      <c r="J21" s="28">
        <v>4.5999999999999996</v>
      </c>
      <c r="K21" s="25">
        <v>4.6500000000000004</v>
      </c>
      <c r="L21" s="26">
        <v>4.71</v>
      </c>
      <c r="M21" s="25">
        <v>4.7699999999999996</v>
      </c>
      <c r="N21" s="29">
        <v>4.82</v>
      </c>
      <c r="Q21" s="24">
        <v>200</v>
      </c>
      <c r="R21" s="25">
        <v>6.75</v>
      </c>
      <c r="S21" s="26">
        <v>6.82</v>
      </c>
      <c r="T21" s="25">
        <v>6.89</v>
      </c>
      <c r="U21" s="26">
        <v>6.96</v>
      </c>
      <c r="V21" s="27">
        <v>7.03</v>
      </c>
      <c r="W21" s="28">
        <v>7.1</v>
      </c>
      <c r="X21" s="25">
        <v>7.17</v>
      </c>
      <c r="Y21" s="26">
        <v>7.24</v>
      </c>
      <c r="Z21" s="25">
        <v>7.31</v>
      </c>
      <c r="AA21" s="29">
        <v>7.38</v>
      </c>
    </row>
    <row r="22" spans="1:27" ht="14.25">
      <c r="A22">
        <v>114</v>
      </c>
      <c r="B22">
        <v>2.21</v>
      </c>
      <c r="E22">
        <v>170</v>
      </c>
      <c r="F22">
        <v>171</v>
      </c>
      <c r="G22">
        <v>172</v>
      </c>
      <c r="H22">
        <v>173</v>
      </c>
      <c r="I22">
        <v>174</v>
      </c>
      <c r="J22">
        <v>175</v>
      </c>
      <c r="K22">
        <v>176</v>
      </c>
      <c r="L22">
        <v>177</v>
      </c>
      <c r="M22">
        <v>178</v>
      </c>
      <c r="N22">
        <v>179</v>
      </c>
      <c r="Q22" s="24">
        <v>210</v>
      </c>
      <c r="R22" s="25">
        <v>7.54</v>
      </c>
      <c r="S22" s="26">
        <v>7.52</v>
      </c>
      <c r="T22" s="25">
        <v>7.59</v>
      </c>
      <c r="U22" s="26">
        <v>7.66</v>
      </c>
      <c r="V22" s="27">
        <v>7.73</v>
      </c>
      <c r="W22" s="28">
        <v>7.81</v>
      </c>
      <c r="X22" s="25">
        <v>7.88</v>
      </c>
      <c r="Y22" s="26">
        <v>7.95</v>
      </c>
      <c r="Z22" s="25">
        <v>8.0299999999999994</v>
      </c>
      <c r="AA22" s="29">
        <v>8.1</v>
      </c>
    </row>
    <row r="23" spans="1:27" ht="14.25">
      <c r="A23">
        <v>115</v>
      </c>
      <c r="B23">
        <v>2.23</v>
      </c>
      <c r="E23" s="25">
        <v>4.88</v>
      </c>
      <c r="F23" s="26">
        <v>4.9400000000000004</v>
      </c>
      <c r="G23" s="25">
        <v>5</v>
      </c>
      <c r="H23" s="26">
        <v>5.05</v>
      </c>
      <c r="I23" s="27">
        <v>5.1100000000000003</v>
      </c>
      <c r="J23" s="28">
        <v>5.17</v>
      </c>
      <c r="K23" s="25">
        <v>5.23</v>
      </c>
      <c r="L23" s="26">
        <v>5.29</v>
      </c>
      <c r="M23" s="25">
        <v>5.35</v>
      </c>
      <c r="N23" s="29">
        <v>5.41</v>
      </c>
      <c r="Q23" s="24">
        <v>220</v>
      </c>
      <c r="R23" s="25">
        <v>8.17</v>
      </c>
      <c r="S23" s="26">
        <v>8.25</v>
      </c>
      <c r="T23" s="25">
        <v>8.32</v>
      </c>
      <c r="U23" s="26">
        <v>8.4</v>
      </c>
      <c r="V23" s="27">
        <v>8.4700000000000006</v>
      </c>
      <c r="W23" s="28">
        <v>8.5500000000000007</v>
      </c>
      <c r="X23" s="25">
        <v>8.6300000000000008</v>
      </c>
      <c r="Y23" s="26">
        <v>8.6999999999999993</v>
      </c>
      <c r="Z23" s="25">
        <v>8.7799999999999994</v>
      </c>
      <c r="AA23" s="29">
        <v>8.86</v>
      </c>
    </row>
    <row r="24" spans="1:27" ht="14.25">
      <c r="A24">
        <v>116</v>
      </c>
      <c r="B24">
        <v>2.27</v>
      </c>
      <c r="E24">
        <v>180</v>
      </c>
      <c r="F24">
        <v>181</v>
      </c>
      <c r="G24">
        <v>182</v>
      </c>
      <c r="H24">
        <v>183</v>
      </c>
      <c r="I24">
        <v>184</v>
      </c>
      <c r="J24">
        <v>185</v>
      </c>
      <c r="K24">
        <v>186</v>
      </c>
      <c r="L24">
        <v>187</v>
      </c>
      <c r="M24">
        <v>188</v>
      </c>
      <c r="N24">
        <v>189</v>
      </c>
      <c r="Q24" s="24">
        <v>230</v>
      </c>
      <c r="R24" s="25">
        <v>8.39</v>
      </c>
      <c r="S24" s="26">
        <v>9.01</v>
      </c>
      <c r="T24" s="25">
        <v>9.09</v>
      </c>
      <c r="U24" s="26">
        <v>9.17</v>
      </c>
      <c r="V24" s="27">
        <v>9.25</v>
      </c>
      <c r="W24" s="28">
        <v>9.33</v>
      </c>
      <c r="X24" s="25">
        <v>9.41</v>
      </c>
      <c r="Y24" s="26">
        <v>9.49</v>
      </c>
      <c r="Z24" s="25">
        <v>9.57</v>
      </c>
      <c r="AA24" s="29">
        <v>9.65</v>
      </c>
    </row>
    <row r="25" spans="1:27" ht="15" thickBot="1">
      <c r="A25">
        <v>117</v>
      </c>
      <c r="B25">
        <v>2.31</v>
      </c>
      <c r="E25" s="25">
        <v>5.47</v>
      </c>
      <c r="F25" s="26">
        <v>5.53</v>
      </c>
      <c r="G25" s="25">
        <v>5.59</v>
      </c>
      <c r="H25" s="26">
        <v>5.66</v>
      </c>
      <c r="I25" s="27">
        <v>5.72</v>
      </c>
      <c r="J25" s="28">
        <v>5.78</v>
      </c>
      <c r="K25" s="25">
        <v>5.84</v>
      </c>
      <c r="L25" s="26">
        <v>5.91</v>
      </c>
      <c r="M25" s="25">
        <v>5.97</v>
      </c>
      <c r="N25" s="29">
        <v>6.03</v>
      </c>
      <c r="Q25" s="24">
        <v>240</v>
      </c>
      <c r="R25" s="25">
        <v>9.73</v>
      </c>
      <c r="S25" s="26">
        <v>9.81</v>
      </c>
      <c r="T25" s="25">
        <v>9.89</v>
      </c>
      <c r="U25" s="26">
        <v>9.9700000000000006</v>
      </c>
      <c r="V25" s="27">
        <v>10.050000000000001</v>
      </c>
      <c r="W25" s="28">
        <v>10.14</v>
      </c>
      <c r="X25" s="25">
        <v>10.220000000000001</v>
      </c>
      <c r="Y25" s="26">
        <v>10.3</v>
      </c>
      <c r="Z25" s="25">
        <v>10.39</v>
      </c>
      <c r="AA25" s="29">
        <v>10.47</v>
      </c>
    </row>
    <row r="26" spans="1:27" ht="15" thickBot="1">
      <c r="A26">
        <v>118</v>
      </c>
      <c r="B26">
        <v>2.35</v>
      </c>
      <c r="E26">
        <v>190</v>
      </c>
      <c r="F26">
        <v>191</v>
      </c>
      <c r="G26">
        <v>192</v>
      </c>
      <c r="H26">
        <v>193</v>
      </c>
      <c r="I26">
        <v>194</v>
      </c>
      <c r="J26">
        <v>195</v>
      </c>
      <c r="K26">
        <v>196</v>
      </c>
      <c r="L26">
        <v>197</v>
      </c>
      <c r="M26">
        <v>198</v>
      </c>
      <c r="N26">
        <v>199</v>
      </c>
      <c r="Q26" s="42">
        <v>250</v>
      </c>
      <c r="R26" s="43">
        <v>10.55</v>
      </c>
      <c r="S26" s="44"/>
      <c r="T26" s="43"/>
      <c r="U26" s="44"/>
      <c r="V26" s="45"/>
      <c r="W26" s="46"/>
      <c r="X26" s="43"/>
      <c r="Y26" s="44"/>
      <c r="Z26" s="43"/>
      <c r="AA26" s="47"/>
    </row>
    <row r="27" spans="1:27" ht="18.75" thickBot="1">
      <c r="A27">
        <v>119</v>
      </c>
      <c r="B27">
        <v>2.39</v>
      </c>
      <c r="E27" s="37">
        <v>6.1</v>
      </c>
      <c r="F27" s="38">
        <v>6.16</v>
      </c>
      <c r="G27" s="37">
        <v>6.23</v>
      </c>
      <c r="H27" s="38">
        <v>6.29</v>
      </c>
      <c r="I27" s="39">
        <v>6.36</v>
      </c>
      <c r="J27" s="40">
        <v>6.42</v>
      </c>
      <c r="K27" s="37">
        <v>6.49</v>
      </c>
      <c r="L27" s="38">
        <v>6.55</v>
      </c>
      <c r="M27" s="37">
        <v>6.62</v>
      </c>
      <c r="N27" s="41">
        <v>6.69</v>
      </c>
      <c r="Q27" s="285" t="s">
        <v>42</v>
      </c>
      <c r="R27" s="286"/>
      <c r="S27" s="286"/>
      <c r="T27" s="286"/>
      <c r="U27" s="286"/>
      <c r="V27" s="286"/>
      <c r="W27" s="286"/>
      <c r="X27" s="286"/>
      <c r="Y27" s="286"/>
      <c r="Z27" s="286"/>
      <c r="AA27" s="287"/>
    </row>
    <row r="28" spans="1:27" ht="15.75" thickBot="1">
      <c r="A28">
        <v>120</v>
      </c>
      <c r="B28">
        <v>2.4300000000000002</v>
      </c>
      <c r="E28">
        <v>200</v>
      </c>
      <c r="F28">
        <v>201</v>
      </c>
      <c r="G28">
        <v>202</v>
      </c>
      <c r="H28">
        <v>203</v>
      </c>
      <c r="I28">
        <v>204</v>
      </c>
      <c r="J28">
        <v>205</v>
      </c>
      <c r="K28">
        <v>206</v>
      </c>
      <c r="L28">
        <v>207</v>
      </c>
      <c r="M28">
        <v>208</v>
      </c>
      <c r="N28">
        <v>209</v>
      </c>
      <c r="Q28" s="18" t="s">
        <v>41</v>
      </c>
      <c r="R28" s="48">
        <v>0</v>
      </c>
      <c r="S28" s="20">
        <v>1</v>
      </c>
      <c r="T28" s="19">
        <v>2</v>
      </c>
      <c r="U28" s="20">
        <v>3</v>
      </c>
      <c r="V28" s="19">
        <v>4</v>
      </c>
      <c r="W28" s="20">
        <v>5</v>
      </c>
      <c r="X28" s="19">
        <v>6</v>
      </c>
      <c r="Y28" s="20">
        <v>7</v>
      </c>
      <c r="Z28" s="19">
        <v>8</v>
      </c>
      <c r="AA28" s="23">
        <v>9</v>
      </c>
    </row>
    <row r="29" spans="1:27" ht="14.25">
      <c r="A29">
        <v>121</v>
      </c>
      <c r="B29">
        <v>2.4700000000000002</v>
      </c>
      <c r="E29" s="25">
        <v>6.75</v>
      </c>
      <c r="F29" s="26">
        <v>6.82</v>
      </c>
      <c r="G29" s="25">
        <v>6.89</v>
      </c>
      <c r="H29" s="26">
        <v>6.96</v>
      </c>
      <c r="I29" s="27">
        <v>7.03</v>
      </c>
      <c r="J29" s="28">
        <v>7.1</v>
      </c>
      <c r="K29" s="25">
        <v>7.17</v>
      </c>
      <c r="L29" s="26">
        <v>7.24</v>
      </c>
      <c r="M29" s="25">
        <v>7.31</v>
      </c>
      <c r="N29" s="29">
        <v>7.38</v>
      </c>
      <c r="Q29" s="24">
        <v>20</v>
      </c>
      <c r="R29" s="25">
        <v>1.06</v>
      </c>
      <c r="S29" s="26">
        <v>1.06</v>
      </c>
      <c r="T29" s="25">
        <v>1.07</v>
      </c>
      <c r="U29" s="26">
        <v>1.07</v>
      </c>
      <c r="V29" s="49">
        <v>1.08</v>
      </c>
      <c r="W29" s="28">
        <v>1.08</v>
      </c>
      <c r="X29" s="25">
        <v>1.0900000000000001</v>
      </c>
      <c r="Y29" s="26">
        <v>1.0900000000000001</v>
      </c>
      <c r="Z29" s="25">
        <v>1.1000000000000001</v>
      </c>
      <c r="AA29" s="29">
        <v>1.1100000000000001</v>
      </c>
    </row>
    <row r="30" spans="1:27" ht="14.25">
      <c r="A30">
        <v>122</v>
      </c>
      <c r="B30">
        <v>2.5099999999999998</v>
      </c>
      <c r="E30">
        <v>210</v>
      </c>
      <c r="F30">
        <v>211</v>
      </c>
      <c r="G30">
        <v>212</v>
      </c>
      <c r="H30">
        <v>213</v>
      </c>
      <c r="I30">
        <v>214</v>
      </c>
      <c r="J30">
        <v>215</v>
      </c>
      <c r="K30">
        <v>216</v>
      </c>
      <c r="L30">
        <v>217</v>
      </c>
      <c r="M30">
        <v>218</v>
      </c>
      <c r="N30">
        <v>219</v>
      </c>
      <c r="Q30" s="24">
        <v>30</v>
      </c>
      <c r="R30" s="25">
        <v>1.1100000000000001</v>
      </c>
      <c r="S30" s="26">
        <v>1.1200000000000001</v>
      </c>
      <c r="T30" s="25">
        <v>1.1200000000000001</v>
      </c>
      <c r="U30" s="26">
        <v>1.1299999999999999</v>
      </c>
      <c r="V30" s="27">
        <v>1.1399999999999999</v>
      </c>
      <c r="W30" s="28">
        <v>1.1499999999999999</v>
      </c>
      <c r="X30" s="25">
        <v>1.1499999999999999</v>
      </c>
      <c r="Y30" s="26">
        <v>1.1599999999999999</v>
      </c>
      <c r="Z30" s="25">
        <v>1.17</v>
      </c>
      <c r="AA30" s="29">
        <v>1.18</v>
      </c>
    </row>
    <row r="31" spans="1:27" ht="15" thickBot="1">
      <c r="A31">
        <v>123</v>
      </c>
      <c r="B31">
        <v>2.5499999999999998</v>
      </c>
      <c r="E31" s="25">
        <v>7.54</v>
      </c>
      <c r="F31" s="26">
        <v>7.52</v>
      </c>
      <c r="G31" s="25">
        <v>7.59</v>
      </c>
      <c r="H31" s="26">
        <v>7.66</v>
      </c>
      <c r="I31" s="27">
        <v>7.73</v>
      </c>
      <c r="J31" s="28">
        <v>7.81</v>
      </c>
      <c r="K31" s="25">
        <v>7.88</v>
      </c>
      <c r="L31" s="26">
        <v>7.95</v>
      </c>
      <c r="M31" s="25">
        <v>8.0299999999999994</v>
      </c>
      <c r="N31" s="29">
        <v>8.1</v>
      </c>
      <c r="Q31" s="36">
        <v>40</v>
      </c>
      <c r="R31" s="37">
        <v>1.19</v>
      </c>
      <c r="S31" s="38">
        <v>1.19</v>
      </c>
      <c r="T31" s="37">
        <v>1.2</v>
      </c>
      <c r="U31" s="38">
        <v>1.21</v>
      </c>
      <c r="V31" s="39">
        <v>1.22</v>
      </c>
      <c r="W31" s="40">
        <v>1.23</v>
      </c>
      <c r="X31" s="37">
        <v>1.24</v>
      </c>
      <c r="Y31" s="38">
        <v>1.24</v>
      </c>
      <c r="Z31" s="37">
        <v>1.26</v>
      </c>
      <c r="AA31" s="41">
        <v>1.27</v>
      </c>
    </row>
    <row r="32" spans="1:27" ht="14.25">
      <c r="A32">
        <v>124</v>
      </c>
      <c r="B32">
        <v>2.6</v>
      </c>
      <c r="E32">
        <v>220</v>
      </c>
      <c r="F32">
        <v>221</v>
      </c>
      <c r="G32">
        <v>222</v>
      </c>
      <c r="H32">
        <v>223</v>
      </c>
      <c r="I32">
        <v>224</v>
      </c>
      <c r="J32">
        <v>225</v>
      </c>
      <c r="K32">
        <v>226</v>
      </c>
      <c r="L32">
        <v>227</v>
      </c>
      <c r="M32">
        <v>228</v>
      </c>
      <c r="N32">
        <v>229</v>
      </c>
      <c r="Q32" s="24">
        <v>50</v>
      </c>
      <c r="R32" s="25">
        <v>1.28</v>
      </c>
      <c r="S32" s="26">
        <v>1.3</v>
      </c>
      <c r="T32" s="25">
        <v>1.31</v>
      </c>
      <c r="U32" s="26">
        <v>1.32</v>
      </c>
      <c r="V32" s="27">
        <v>1.33</v>
      </c>
      <c r="W32" s="28">
        <v>1.35</v>
      </c>
      <c r="X32" s="25">
        <v>1.36</v>
      </c>
      <c r="Y32" s="26">
        <v>1.37</v>
      </c>
      <c r="Z32" s="25">
        <v>1.39</v>
      </c>
      <c r="AA32" s="29">
        <v>1.4</v>
      </c>
    </row>
    <row r="33" spans="1:27" ht="14.25">
      <c r="A33">
        <v>125</v>
      </c>
      <c r="B33">
        <v>2.64</v>
      </c>
      <c r="E33" s="25">
        <v>8.17</v>
      </c>
      <c r="F33" s="26">
        <v>8.25</v>
      </c>
      <c r="G33" s="25">
        <v>8.32</v>
      </c>
      <c r="H33" s="26">
        <v>8.4</v>
      </c>
      <c r="I33" s="27">
        <v>8.4700000000000006</v>
      </c>
      <c r="J33" s="28">
        <v>8.5500000000000007</v>
      </c>
      <c r="K33" s="25">
        <v>8.6300000000000008</v>
      </c>
      <c r="L33" s="26">
        <v>8.6999999999999993</v>
      </c>
      <c r="M33" s="25">
        <v>8.7799999999999994</v>
      </c>
      <c r="N33" s="29">
        <v>8.86</v>
      </c>
      <c r="Q33" s="24">
        <v>60</v>
      </c>
      <c r="R33" s="25">
        <v>1.41</v>
      </c>
      <c r="S33" s="26">
        <v>1.43</v>
      </c>
      <c r="T33" s="25">
        <v>1.44</v>
      </c>
      <c r="U33" s="26">
        <v>1.46</v>
      </c>
      <c r="V33" s="27">
        <v>1.48</v>
      </c>
      <c r="W33" s="28">
        <v>1.49</v>
      </c>
      <c r="X33" s="25">
        <v>1.51</v>
      </c>
      <c r="Y33" s="26">
        <v>1.53</v>
      </c>
      <c r="Z33" s="25">
        <v>1.54</v>
      </c>
      <c r="AA33" s="29">
        <v>1.56</v>
      </c>
    </row>
    <row r="34" spans="1:27" ht="14.25">
      <c r="A34">
        <v>126</v>
      </c>
      <c r="B34">
        <v>2.68</v>
      </c>
      <c r="Q34" s="24">
        <v>70</v>
      </c>
      <c r="R34" s="25">
        <v>1.58</v>
      </c>
      <c r="S34" s="26">
        <v>1.6</v>
      </c>
      <c r="T34" s="25">
        <v>1.62</v>
      </c>
      <c r="U34" s="26">
        <v>1.64</v>
      </c>
      <c r="V34" s="27">
        <v>1.66</v>
      </c>
      <c r="W34" s="28">
        <v>1.68</v>
      </c>
      <c r="X34" s="25">
        <v>1.7</v>
      </c>
      <c r="Y34" s="26">
        <v>1.72</v>
      </c>
      <c r="Z34" s="25">
        <v>1.74</v>
      </c>
      <c r="AA34" s="29">
        <v>1.77</v>
      </c>
    </row>
    <row r="35" spans="1:27" ht="14.25">
      <c r="A35">
        <v>127</v>
      </c>
      <c r="B35">
        <v>2.72</v>
      </c>
      <c r="Q35" s="24">
        <v>80</v>
      </c>
      <c r="R35" s="25">
        <v>1.79</v>
      </c>
      <c r="S35" s="26">
        <v>1.81</v>
      </c>
      <c r="T35" s="25">
        <v>1.83</v>
      </c>
      <c r="U35" s="26">
        <v>1.86</v>
      </c>
      <c r="V35" s="27">
        <v>1.88</v>
      </c>
      <c r="W35" s="28">
        <v>1.91</v>
      </c>
      <c r="X35" s="25">
        <v>1.93</v>
      </c>
      <c r="Y35" s="26">
        <v>1.95</v>
      </c>
      <c r="Z35" s="25">
        <v>1.98</v>
      </c>
      <c r="AA35" s="29">
        <v>2.0099999999999998</v>
      </c>
    </row>
    <row r="36" spans="1:27" ht="15" thickBot="1">
      <c r="A36">
        <v>128</v>
      </c>
      <c r="B36">
        <v>2.77</v>
      </c>
      <c r="Q36" s="36">
        <v>90</v>
      </c>
      <c r="R36" s="37">
        <v>2.0499999999999998</v>
      </c>
      <c r="S36" s="38">
        <v>2.1</v>
      </c>
      <c r="T36" s="37">
        <v>2.14</v>
      </c>
      <c r="U36" s="38">
        <v>2.19</v>
      </c>
      <c r="V36" s="39">
        <v>2.2400000000000002</v>
      </c>
      <c r="W36" s="40">
        <v>2.29</v>
      </c>
      <c r="X36" s="37">
        <v>2.33</v>
      </c>
      <c r="Y36" s="38">
        <v>2.38</v>
      </c>
      <c r="Z36" s="37">
        <v>2.4300000000000002</v>
      </c>
      <c r="AA36" s="41">
        <v>2.48</v>
      </c>
    </row>
    <row r="37" spans="1:27" ht="14.25">
      <c r="A37">
        <v>129</v>
      </c>
      <c r="B37">
        <v>2.81</v>
      </c>
      <c r="Q37" s="24">
        <v>100</v>
      </c>
      <c r="R37" s="25">
        <v>2.5299999999999998</v>
      </c>
      <c r="S37" s="26">
        <v>2.58</v>
      </c>
      <c r="T37" s="25">
        <v>2.64</v>
      </c>
      <c r="U37" s="26">
        <v>2.69</v>
      </c>
      <c r="V37" s="27">
        <v>2.74</v>
      </c>
      <c r="W37" s="28">
        <v>2.79</v>
      </c>
      <c r="X37" s="25">
        <v>2.85</v>
      </c>
      <c r="Y37" s="26">
        <v>2.9</v>
      </c>
      <c r="Z37" s="25">
        <v>2.95</v>
      </c>
      <c r="AA37" s="29">
        <v>3.01</v>
      </c>
    </row>
    <row r="38" spans="1:27" ht="14.25">
      <c r="A38">
        <v>130</v>
      </c>
      <c r="B38">
        <v>2.85</v>
      </c>
      <c r="Q38" s="24">
        <v>110</v>
      </c>
      <c r="R38" s="25">
        <v>3.06</v>
      </c>
      <c r="S38" s="26">
        <v>3.12</v>
      </c>
      <c r="T38" s="25">
        <v>3.18</v>
      </c>
      <c r="U38" s="26">
        <v>3.23</v>
      </c>
      <c r="V38" s="27">
        <v>3.29</v>
      </c>
      <c r="W38" s="28">
        <v>3.35</v>
      </c>
      <c r="X38" s="25">
        <v>3.41</v>
      </c>
      <c r="Y38" s="26">
        <v>3.47</v>
      </c>
      <c r="Z38" s="25">
        <v>3.53</v>
      </c>
      <c r="AA38" s="29">
        <v>3.59</v>
      </c>
    </row>
    <row r="39" spans="1:27" ht="14.25">
      <c r="A39">
        <v>131</v>
      </c>
      <c r="B39">
        <v>2.9</v>
      </c>
      <c r="Q39" s="24">
        <v>120</v>
      </c>
      <c r="R39" s="25">
        <v>3.65</v>
      </c>
      <c r="S39" s="26">
        <v>3.71</v>
      </c>
      <c r="T39" s="25">
        <v>3.77</v>
      </c>
      <c r="U39" s="26">
        <v>3.83</v>
      </c>
      <c r="V39" s="27">
        <v>3.89</v>
      </c>
      <c r="W39" s="28">
        <v>3.96</v>
      </c>
      <c r="X39" s="25">
        <v>4.0199999999999996</v>
      </c>
      <c r="Y39" s="26">
        <v>4.09</v>
      </c>
      <c r="Z39" s="25">
        <v>4.1500000000000004</v>
      </c>
      <c r="AA39" s="29">
        <v>4.22</v>
      </c>
    </row>
    <row r="40" spans="1:27" ht="14.25">
      <c r="A40">
        <v>132</v>
      </c>
      <c r="B40">
        <v>2.94</v>
      </c>
      <c r="Q40" s="24">
        <v>130</v>
      </c>
      <c r="R40" s="25">
        <v>4.28</v>
      </c>
      <c r="S40" s="26">
        <v>4.3499999999999996</v>
      </c>
      <c r="T40" s="25">
        <v>4.41</v>
      </c>
      <c r="U40" s="26">
        <v>4.4800000000000004</v>
      </c>
      <c r="V40" s="27">
        <v>4.55</v>
      </c>
      <c r="W40" s="28">
        <v>4.62</v>
      </c>
      <c r="X40" s="25">
        <v>4.6900000000000004</v>
      </c>
      <c r="Y40" s="26">
        <v>4.75</v>
      </c>
      <c r="Z40" s="25">
        <v>4.82</v>
      </c>
      <c r="AA40" s="29">
        <v>4.8899999999999997</v>
      </c>
    </row>
    <row r="41" spans="1:27" ht="15" thickBot="1">
      <c r="A41">
        <v>133</v>
      </c>
      <c r="B41">
        <v>2.99</v>
      </c>
      <c r="Q41" s="36">
        <v>140</v>
      </c>
      <c r="R41" s="37">
        <v>4.96</v>
      </c>
      <c r="S41" s="38">
        <v>5.04</v>
      </c>
      <c r="T41" s="37">
        <v>5.1100000000000003</v>
      </c>
      <c r="U41" s="38">
        <v>5.18</v>
      </c>
      <c r="V41" s="39">
        <v>5.25</v>
      </c>
      <c r="W41" s="40">
        <v>5.33</v>
      </c>
      <c r="X41" s="37">
        <v>5.4</v>
      </c>
      <c r="Y41" s="38">
        <v>5.47</v>
      </c>
      <c r="Z41" s="37">
        <v>5.55</v>
      </c>
      <c r="AA41" s="41">
        <v>5.62</v>
      </c>
    </row>
    <row r="42" spans="1:27" ht="14.25">
      <c r="A42">
        <v>134</v>
      </c>
      <c r="B42">
        <v>3.03</v>
      </c>
      <c r="Q42" s="24">
        <v>150</v>
      </c>
      <c r="R42" s="25">
        <v>5.7</v>
      </c>
      <c r="S42" s="26">
        <v>5.78</v>
      </c>
      <c r="T42" s="25">
        <v>5.85</v>
      </c>
      <c r="U42" s="26">
        <v>5.93</v>
      </c>
      <c r="V42" s="27">
        <v>6.01</v>
      </c>
      <c r="W42" s="28">
        <v>6.09</v>
      </c>
      <c r="X42" s="25">
        <v>6.16</v>
      </c>
      <c r="Y42" s="26">
        <v>6.24</v>
      </c>
      <c r="Z42" s="25">
        <v>6.32</v>
      </c>
      <c r="AA42" s="29">
        <v>6.4</v>
      </c>
    </row>
    <row r="43" spans="1:27" ht="14.25">
      <c r="A43">
        <v>135</v>
      </c>
      <c r="B43">
        <v>3.08</v>
      </c>
      <c r="Q43" s="24">
        <v>160</v>
      </c>
      <c r="R43" s="25">
        <v>6.48</v>
      </c>
      <c r="S43" s="26">
        <v>6.57</v>
      </c>
      <c r="T43" s="25">
        <v>6.65</v>
      </c>
      <c r="U43" s="26">
        <v>6.73</v>
      </c>
      <c r="V43" s="27">
        <v>6.81</v>
      </c>
      <c r="W43" s="28">
        <v>6.9</v>
      </c>
      <c r="X43" s="25">
        <v>6.98</v>
      </c>
      <c r="Y43" s="26">
        <v>7.06</v>
      </c>
      <c r="Z43" s="25">
        <v>7.15</v>
      </c>
      <c r="AA43" s="29">
        <v>7.23</v>
      </c>
    </row>
    <row r="44" spans="1:27" ht="14.25">
      <c r="A44">
        <v>136</v>
      </c>
      <c r="B44">
        <v>3.12</v>
      </c>
      <c r="Q44" s="24">
        <v>170</v>
      </c>
      <c r="R44" s="25">
        <v>7.32</v>
      </c>
      <c r="S44" s="26">
        <v>7.41</v>
      </c>
      <c r="T44" s="25">
        <v>7.49</v>
      </c>
      <c r="U44" s="26">
        <v>7.58</v>
      </c>
      <c r="V44" s="27">
        <v>7.67</v>
      </c>
      <c r="W44" s="28">
        <v>7.76</v>
      </c>
      <c r="X44" s="25">
        <v>7.85</v>
      </c>
      <c r="Y44" s="26">
        <v>7.94</v>
      </c>
      <c r="Z44" s="25">
        <v>8.0299999999999994</v>
      </c>
      <c r="AA44" s="29">
        <v>8.1199999999999992</v>
      </c>
    </row>
    <row r="45" spans="1:27" ht="14.25">
      <c r="A45">
        <v>137</v>
      </c>
      <c r="B45">
        <v>3.17</v>
      </c>
      <c r="Q45" s="24">
        <v>180</v>
      </c>
      <c r="R45" s="25">
        <v>8.2100000000000009</v>
      </c>
      <c r="S45" s="26">
        <v>8.3000000000000007</v>
      </c>
      <c r="T45" s="25">
        <v>8.39</v>
      </c>
      <c r="U45" s="26">
        <v>8.48</v>
      </c>
      <c r="V45" s="27">
        <v>8.58</v>
      </c>
      <c r="W45" s="28">
        <v>8.67</v>
      </c>
      <c r="X45" s="25">
        <v>8.76</v>
      </c>
      <c r="Y45" s="26">
        <v>8.86</v>
      </c>
      <c r="Z45" s="25">
        <v>8.9499999999999993</v>
      </c>
      <c r="AA45" s="29">
        <v>9.0500000000000007</v>
      </c>
    </row>
    <row r="46" spans="1:27" ht="15" thickBot="1">
      <c r="A46">
        <v>138</v>
      </c>
      <c r="B46">
        <v>3.22</v>
      </c>
      <c r="Q46" s="36">
        <v>190</v>
      </c>
      <c r="R46" s="37">
        <v>9.14</v>
      </c>
      <c r="S46" s="38">
        <v>9.24</v>
      </c>
      <c r="T46" s="37">
        <v>9.34</v>
      </c>
      <c r="U46" s="38">
        <v>9.44</v>
      </c>
      <c r="V46" s="39">
        <v>9.5299999999999994</v>
      </c>
      <c r="W46" s="40">
        <v>9.6300000000000008</v>
      </c>
      <c r="X46" s="37">
        <v>9.73</v>
      </c>
      <c r="Y46" s="38">
        <v>9.83</v>
      </c>
      <c r="Z46" s="37">
        <v>9.93</v>
      </c>
      <c r="AA46" s="41">
        <v>10.029999999999999</v>
      </c>
    </row>
    <row r="47" spans="1:27" ht="14.25">
      <c r="A47">
        <v>139</v>
      </c>
      <c r="B47">
        <v>3.26</v>
      </c>
      <c r="Q47" s="24">
        <v>200</v>
      </c>
      <c r="R47" s="25">
        <v>10.130000000000001</v>
      </c>
      <c r="S47" s="26">
        <v>10.23</v>
      </c>
      <c r="T47" s="25">
        <v>10.34</v>
      </c>
      <c r="U47" s="26">
        <v>10.44</v>
      </c>
      <c r="V47" s="27">
        <v>10.54</v>
      </c>
      <c r="W47" s="28">
        <v>10.65</v>
      </c>
      <c r="X47" s="25">
        <v>10.75</v>
      </c>
      <c r="Y47" s="26">
        <v>10.85</v>
      </c>
      <c r="Z47" s="25">
        <v>10.96</v>
      </c>
      <c r="AA47" s="29">
        <v>11.06</v>
      </c>
    </row>
    <row r="48" spans="1:27" ht="14.25">
      <c r="A48">
        <v>140</v>
      </c>
      <c r="B48">
        <v>3.31</v>
      </c>
      <c r="Q48" s="24">
        <v>210</v>
      </c>
      <c r="R48" s="25">
        <v>11.17</v>
      </c>
      <c r="S48" s="26">
        <v>11.28</v>
      </c>
      <c r="T48" s="25">
        <v>11.38</v>
      </c>
      <c r="U48" s="26">
        <v>11.49</v>
      </c>
      <c r="V48" s="27">
        <v>11.6</v>
      </c>
      <c r="W48" s="28">
        <v>11.71</v>
      </c>
      <c r="X48" s="25">
        <v>11.82</v>
      </c>
      <c r="Y48" s="26">
        <v>11.93</v>
      </c>
      <c r="Z48" s="25">
        <v>14.04</v>
      </c>
      <c r="AA48" s="29">
        <v>12.15</v>
      </c>
    </row>
    <row r="49" spans="1:27" ht="14.25">
      <c r="A49">
        <v>141</v>
      </c>
      <c r="B49">
        <v>3.36</v>
      </c>
      <c r="Q49" s="24">
        <v>220</v>
      </c>
      <c r="R49" s="25">
        <v>12.26</v>
      </c>
      <c r="S49" s="26">
        <v>12.37</v>
      </c>
      <c r="T49" s="25">
        <v>12.48</v>
      </c>
      <c r="U49" s="26">
        <v>12.6</v>
      </c>
      <c r="V49" s="27">
        <v>12.71</v>
      </c>
      <c r="W49" s="28">
        <v>12.82</v>
      </c>
      <c r="X49" s="25">
        <v>12.94</v>
      </c>
      <c r="Y49" s="26">
        <v>13.05</v>
      </c>
      <c r="Z49" s="25">
        <v>13.17</v>
      </c>
      <c r="AA49" s="29">
        <v>13.28</v>
      </c>
    </row>
    <row r="50" spans="1:27" ht="14.25">
      <c r="A50">
        <v>142</v>
      </c>
      <c r="B50">
        <v>3.41</v>
      </c>
      <c r="Q50" s="24">
        <v>230</v>
      </c>
      <c r="R50" s="25">
        <v>13.4</v>
      </c>
      <c r="S50" s="26">
        <v>13.52</v>
      </c>
      <c r="T50" s="25">
        <v>13.63</v>
      </c>
      <c r="U50" s="26">
        <v>13.75</v>
      </c>
      <c r="V50" s="27">
        <v>13.87</v>
      </c>
      <c r="W50" s="28">
        <v>13.99</v>
      </c>
      <c r="X50" s="25">
        <v>14.11</v>
      </c>
      <c r="Y50" s="26">
        <v>14.23</v>
      </c>
      <c r="Z50" s="25">
        <v>14.35</v>
      </c>
      <c r="AA50" s="29">
        <v>14.47</v>
      </c>
    </row>
    <row r="51" spans="1:27" ht="15" thickBot="1">
      <c r="A51">
        <v>143</v>
      </c>
      <c r="B51">
        <v>3.45</v>
      </c>
      <c r="Q51" s="36">
        <v>240</v>
      </c>
      <c r="R51" s="37">
        <v>14.59</v>
      </c>
      <c r="S51" s="38">
        <v>14.71</v>
      </c>
      <c r="T51" s="37">
        <v>14.83</v>
      </c>
      <c r="U51" s="38">
        <v>14.96</v>
      </c>
      <c r="V51" s="39">
        <v>15.08</v>
      </c>
      <c r="W51" s="40">
        <v>15.2</v>
      </c>
      <c r="X51" s="37">
        <v>15.33</v>
      </c>
      <c r="Y51" s="38">
        <v>15.45</v>
      </c>
      <c r="Z51" s="37">
        <v>15.58</v>
      </c>
      <c r="AA51" s="41">
        <v>15.71</v>
      </c>
    </row>
    <row r="52" spans="1:27" ht="15" thickBot="1">
      <c r="A52">
        <v>144</v>
      </c>
      <c r="B52">
        <v>3.5</v>
      </c>
      <c r="Q52" s="36">
        <v>250</v>
      </c>
      <c r="R52" s="37">
        <v>15.83</v>
      </c>
      <c r="S52" s="38"/>
      <c r="T52" s="37"/>
      <c r="U52" s="38"/>
      <c r="V52" s="39"/>
      <c r="W52" s="40"/>
      <c r="X52" s="37"/>
      <c r="Y52" s="38"/>
      <c r="Z52" s="37"/>
      <c r="AA52" s="41"/>
    </row>
    <row r="53" spans="1:27">
      <c r="A53">
        <v>145</v>
      </c>
      <c r="B53">
        <v>3.55</v>
      </c>
    </row>
    <row r="54" spans="1:27">
      <c r="A54">
        <v>146</v>
      </c>
      <c r="B54">
        <v>3.6</v>
      </c>
    </row>
    <row r="55" spans="1:27">
      <c r="A55">
        <v>147</v>
      </c>
      <c r="B55">
        <v>3.65</v>
      </c>
    </row>
    <row r="56" spans="1:27">
      <c r="A56">
        <v>148</v>
      </c>
      <c r="B56">
        <v>3.7</v>
      </c>
    </row>
    <row r="57" spans="1:27">
      <c r="A57">
        <v>149</v>
      </c>
      <c r="B57">
        <v>3.75</v>
      </c>
    </row>
    <row r="58" spans="1:27">
      <c r="A58">
        <v>150</v>
      </c>
      <c r="B58">
        <v>3.8</v>
      </c>
    </row>
    <row r="59" spans="1:27">
      <c r="A59">
        <v>151</v>
      </c>
      <c r="B59">
        <v>3.85</v>
      </c>
    </row>
    <row r="60" spans="1:27">
      <c r="A60">
        <v>152</v>
      </c>
      <c r="B60">
        <v>3.9</v>
      </c>
    </row>
    <row r="61" spans="1:27">
      <c r="A61">
        <v>153</v>
      </c>
      <c r="B61">
        <v>3.95</v>
      </c>
    </row>
    <row r="62" spans="1:27">
      <c r="A62">
        <v>154</v>
      </c>
      <c r="B62">
        <v>4</v>
      </c>
    </row>
    <row r="63" spans="1:27">
      <c r="A63">
        <v>155</v>
      </c>
      <c r="B63">
        <v>4.0599999999999996</v>
      </c>
    </row>
    <row r="64" spans="1:27">
      <c r="A64">
        <v>156</v>
      </c>
      <c r="B64">
        <v>4.1100000000000003</v>
      </c>
    </row>
    <row r="65" spans="1:2">
      <c r="A65">
        <v>157</v>
      </c>
      <c r="B65">
        <v>4.16</v>
      </c>
    </row>
    <row r="66" spans="1:2">
      <c r="A66">
        <v>158</v>
      </c>
      <c r="B66">
        <v>4.22</v>
      </c>
    </row>
    <row r="67" spans="1:2">
      <c r="A67">
        <v>159</v>
      </c>
      <c r="B67">
        <v>4.2699999999999996</v>
      </c>
    </row>
    <row r="68" spans="1:2" ht="14.25">
      <c r="A68">
        <v>160</v>
      </c>
      <c r="B68" s="25">
        <v>4.32</v>
      </c>
    </row>
    <row r="69" spans="1:2" ht="14.25">
      <c r="A69">
        <v>161</v>
      </c>
      <c r="B69" s="26">
        <v>4.38</v>
      </c>
    </row>
  </sheetData>
  <mergeCells count="2">
    <mergeCell ref="Q1:AA1"/>
    <mergeCell ref="Q27:AA27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"/>
  <sheetViews>
    <sheetView rightToLeft="1" workbookViewId="0">
      <selection activeCell="A4" sqref="A4"/>
    </sheetView>
  </sheetViews>
  <sheetFormatPr defaultRowHeight="12.75"/>
  <cols>
    <col min="1" max="1" width="18.28515625" customWidth="1"/>
    <col min="2" max="2" width="18.5703125" customWidth="1"/>
  </cols>
  <sheetData>
    <row r="1" spans="1:3">
      <c r="B1" s="1" t="s">
        <v>18</v>
      </c>
      <c r="C1" s="1" t="s">
        <v>32</v>
      </c>
    </row>
    <row r="2" spans="1:3">
      <c r="A2" t="s">
        <v>31</v>
      </c>
      <c r="B2">
        <v>550</v>
      </c>
      <c r="C2">
        <v>5.5</v>
      </c>
    </row>
    <row r="3" spans="1:3">
      <c r="A3" t="s">
        <v>33</v>
      </c>
      <c r="B3">
        <v>480</v>
      </c>
      <c r="C3">
        <v>5.5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P113"/>
  <sheetViews>
    <sheetView topLeftCell="A52" workbookViewId="0">
      <selection activeCell="A2" sqref="A2"/>
    </sheetView>
  </sheetViews>
  <sheetFormatPr defaultRowHeight="12.75"/>
  <cols>
    <col min="1" max="1" width="29" style="5" customWidth="1"/>
    <col min="2" max="2" width="8.28515625" style="5" customWidth="1"/>
    <col min="3" max="3" width="6.85546875" style="5" bestFit="1" customWidth="1"/>
    <col min="4" max="4" width="35.7109375" style="5" bestFit="1" customWidth="1"/>
    <col min="5" max="16384" width="9.140625" style="5"/>
  </cols>
  <sheetData>
    <row r="1" spans="1:16" ht="15.75">
      <c r="A1" s="104"/>
      <c r="C1" s="105"/>
      <c r="D1" s="105"/>
      <c r="E1" s="8"/>
      <c r="G1" s="84"/>
      <c r="H1" s="85"/>
      <c r="I1" s="72"/>
      <c r="J1" s="84"/>
      <c r="K1" s="86"/>
      <c r="L1" s="72"/>
      <c r="M1" s="86"/>
      <c r="N1" s="72"/>
      <c r="O1" s="77"/>
      <c r="P1" s="299"/>
    </row>
    <row r="2" spans="1:16" ht="19.5" customHeight="1">
      <c r="A2" s="106" t="str">
        <f>CONCATENATE('ورودي ها'!B1,'ورودي ها'!A1)</f>
        <v>شماره پرونده</v>
      </c>
      <c r="B2" s="107">
        <f>'ورودي ها'!B2</f>
        <v>0</v>
      </c>
      <c r="C2" s="108" t="s">
        <v>124</v>
      </c>
      <c r="D2" s="138" t="s">
        <v>103</v>
      </c>
      <c r="E2" s="288" t="s">
        <v>194</v>
      </c>
      <c r="G2" s="87"/>
      <c r="H2" s="71"/>
      <c r="I2" s="72"/>
      <c r="J2" s="73"/>
      <c r="K2" s="74"/>
      <c r="L2" s="73"/>
      <c r="M2" s="73"/>
      <c r="N2" s="298"/>
      <c r="O2" s="298"/>
      <c r="P2" s="299"/>
    </row>
    <row r="3" spans="1:16" ht="19.5" customHeight="1">
      <c r="A3" s="110"/>
      <c r="B3" s="61">
        <f>'ورودي ها'!B3</f>
        <v>0</v>
      </c>
      <c r="C3" s="55" t="s">
        <v>4</v>
      </c>
      <c r="D3" s="139" t="s">
        <v>102</v>
      </c>
      <c r="E3" s="289"/>
      <c r="G3" s="87"/>
      <c r="H3" s="71"/>
      <c r="I3" s="72"/>
      <c r="J3" s="73"/>
      <c r="K3" s="74"/>
      <c r="L3" s="73"/>
      <c r="M3" s="73"/>
      <c r="N3" s="75"/>
      <c r="O3" s="75"/>
      <c r="P3" s="299"/>
    </row>
    <row r="4" spans="1:16" ht="18.75">
      <c r="A4" s="111" t="s">
        <v>125</v>
      </c>
      <c r="B4" s="61">
        <f>B3*75</f>
        <v>0</v>
      </c>
      <c r="C4" s="60" t="s">
        <v>43</v>
      </c>
      <c r="D4" s="139" t="s">
        <v>163</v>
      </c>
      <c r="E4" s="289"/>
      <c r="G4" s="87"/>
      <c r="H4" s="71"/>
      <c r="I4" s="72"/>
      <c r="J4" s="73"/>
      <c r="K4" s="74"/>
      <c r="L4" s="73"/>
      <c r="M4" s="73"/>
      <c r="N4" s="298"/>
      <c r="O4" s="298"/>
      <c r="P4" s="299"/>
    </row>
    <row r="5" spans="1:16" ht="19.5" customHeight="1">
      <c r="A5" s="111" t="s">
        <v>126</v>
      </c>
      <c r="B5" s="61">
        <f>'ورودي ها'!B4</f>
        <v>0</v>
      </c>
      <c r="C5" s="60" t="s">
        <v>43</v>
      </c>
      <c r="D5" s="139" t="s">
        <v>104</v>
      </c>
      <c r="E5" s="289"/>
      <c r="G5" s="87"/>
      <c r="H5" s="71"/>
      <c r="I5" s="72"/>
      <c r="J5" s="73"/>
      <c r="K5" s="74"/>
      <c r="L5" s="73"/>
      <c r="M5" s="73"/>
      <c r="N5" s="298"/>
      <c r="O5" s="298"/>
      <c r="P5" s="299"/>
    </row>
    <row r="6" spans="1:16" ht="20.25" customHeight="1">
      <c r="A6" s="111" t="s">
        <v>159</v>
      </c>
      <c r="B6" s="61">
        <f>'ورودي ها'!B27</f>
        <v>0</v>
      </c>
      <c r="C6" s="60"/>
      <c r="D6" s="139" t="s">
        <v>105</v>
      </c>
      <c r="E6" s="289"/>
      <c r="G6" s="88"/>
      <c r="H6" s="71"/>
      <c r="I6" s="72"/>
      <c r="J6" s="89"/>
      <c r="K6" s="74"/>
      <c r="L6" s="73"/>
      <c r="M6" s="73"/>
      <c r="N6" s="298"/>
      <c r="O6" s="298"/>
      <c r="P6" s="299"/>
    </row>
    <row r="7" spans="1:16" ht="19.5" customHeight="1">
      <c r="A7" s="111" t="s">
        <v>136</v>
      </c>
      <c r="B7" s="61">
        <f>IF(C7="تدريجي",10,25)</f>
        <v>25</v>
      </c>
      <c r="C7" s="55">
        <f>'ورودي ها'!B19</f>
        <v>0</v>
      </c>
      <c r="D7" s="139" t="s">
        <v>150</v>
      </c>
      <c r="E7" s="289"/>
      <c r="G7" s="125"/>
      <c r="H7" s="71"/>
      <c r="I7" s="72"/>
      <c r="J7" s="76"/>
      <c r="K7" s="74"/>
      <c r="L7" s="73"/>
      <c r="M7" s="73"/>
      <c r="N7" s="298"/>
      <c r="O7" s="298"/>
      <c r="P7" s="77"/>
    </row>
    <row r="8" spans="1:16" ht="19.5" customHeight="1">
      <c r="A8" s="112" t="s">
        <v>148</v>
      </c>
      <c r="B8" s="118">
        <f>'ورودي ها'!B17</f>
        <v>0</v>
      </c>
      <c r="C8" s="114" t="s">
        <v>52</v>
      </c>
      <c r="D8" s="140" t="s">
        <v>17</v>
      </c>
      <c r="E8" s="290"/>
      <c r="G8" s="126"/>
      <c r="H8" s="71"/>
      <c r="I8" s="72"/>
      <c r="J8" s="76"/>
      <c r="K8" s="74"/>
      <c r="L8" s="73"/>
      <c r="M8" s="73"/>
      <c r="N8" s="75"/>
      <c r="O8" s="75"/>
      <c r="P8" s="77"/>
    </row>
    <row r="9" spans="1:16" ht="19.5" customHeight="1">
      <c r="A9" s="119" t="s">
        <v>127</v>
      </c>
      <c r="B9" s="107">
        <f>'ورودي ها'!B14</f>
        <v>0</v>
      </c>
      <c r="C9" s="120"/>
      <c r="D9" s="109" t="s">
        <v>106</v>
      </c>
      <c r="E9" s="288" t="s">
        <v>195</v>
      </c>
      <c r="G9" s="87"/>
      <c r="H9" s="71"/>
      <c r="I9" s="72"/>
      <c r="J9" s="76"/>
      <c r="K9" s="74"/>
      <c r="L9" s="73"/>
      <c r="M9" s="73"/>
      <c r="N9" s="75"/>
      <c r="O9" s="75"/>
      <c r="P9" s="77"/>
    </row>
    <row r="10" spans="1:16" ht="19.5" customHeight="1">
      <c r="A10" s="111" t="s">
        <v>128</v>
      </c>
      <c r="B10" s="61" t="b">
        <f>'ورودي ها'!B16</f>
        <v>0</v>
      </c>
      <c r="C10" s="60" t="s">
        <v>44</v>
      </c>
      <c r="D10" s="56" t="s">
        <v>107</v>
      </c>
      <c r="E10" s="289"/>
      <c r="G10" s="87"/>
      <c r="H10" s="71"/>
      <c r="I10" s="72"/>
      <c r="J10" s="76"/>
      <c r="K10" s="74"/>
      <c r="L10" s="73"/>
      <c r="M10" s="73"/>
      <c r="N10" s="298"/>
      <c r="O10" s="298"/>
      <c r="P10" s="90"/>
    </row>
    <row r="11" spans="1:16" ht="21" customHeight="1">
      <c r="A11" s="111" t="s">
        <v>129</v>
      </c>
      <c r="B11" s="61">
        <f>(('ورودي ها'!B2-1)*300+'ورودي ها'!B20+'ورودي ها'!B21)/100</f>
        <v>-3</v>
      </c>
      <c r="C11" s="60" t="s">
        <v>45</v>
      </c>
      <c r="D11" s="56" t="s">
        <v>108</v>
      </c>
      <c r="E11" s="289"/>
      <c r="G11" s="87"/>
      <c r="H11" s="71"/>
      <c r="I11" s="72"/>
      <c r="J11" s="76"/>
      <c r="K11" s="74"/>
      <c r="L11" s="73"/>
      <c r="M11" s="73"/>
      <c r="N11" s="298"/>
      <c r="O11" s="298"/>
      <c r="P11" s="299"/>
    </row>
    <row r="12" spans="1:16" ht="18.75">
      <c r="A12" s="111" t="s">
        <v>130</v>
      </c>
      <c r="B12" s="61" t="b">
        <f>IF('ورودي ها'!B15='مشخصات سيم بكسلها'!B1,'مشخصات سيم بكسلها'!B3,IF('ورودي ها'!B15='مشخصات سيم بكسلها'!C1,'مشخصات سيم بكسلها'!C3,IF('ورودي ها'!B15='مشخصات سيم بكسلها'!D1,'مشخصات سيم بكسلها'!D3,IF('ورودي ها'!B15='مشخصات سيم بكسلها'!E1,'مشخصات سيم بكسلها'!E3,IF('ورودي ها'!B15='مشخصات سيم بكسلها'!F1,'مشخصات سيم بكسلها'!F3,IF('ورودي ها'!B15='مشخصات سيم بكسلها'!G1,'مشخصات سيم بكسلها'!G3))))))</f>
        <v>0</v>
      </c>
      <c r="C12" s="60" t="s">
        <v>46</v>
      </c>
      <c r="D12" s="56" t="s">
        <v>109</v>
      </c>
      <c r="E12" s="289"/>
      <c r="G12" s="87"/>
      <c r="H12" s="71"/>
      <c r="I12" s="72"/>
      <c r="J12" s="76"/>
      <c r="K12" s="74"/>
      <c r="L12" s="73"/>
      <c r="M12" s="73"/>
      <c r="N12" s="298"/>
      <c r="O12" s="298"/>
      <c r="P12" s="299"/>
    </row>
    <row r="13" spans="1:16" ht="18.75" customHeight="1">
      <c r="A13" s="111" t="s">
        <v>131</v>
      </c>
      <c r="B13" s="61" t="b">
        <f>IF('ورودي ها'!B15='مشخصات سيم بكسلها'!B1,'مشخصات سيم بكسلها'!B4,IF('ورودي ها'!B15='مشخصات سيم بكسلها'!C1,'مشخصات سيم بكسلها'!C4,IF('ورودي ها'!B15='مشخصات سيم بكسلها'!D1,'مشخصات سيم بكسلها'!D4,IF('ورودي ها'!B15='مشخصات سيم بكسلها'!E1,'مشخصات سيم بكسلها'!E4,IF('ورودي ها'!B15='مشخصات سيم بكسلها'!F1,'مشخصات سيم بكسلها'!F4,IF('ورودي ها'!B15='مشخصات سيم بكسلها'!G1,'مشخصات سيم بكسلها'!G4))))))</f>
        <v>0</v>
      </c>
      <c r="C13" s="60" t="s">
        <v>43</v>
      </c>
      <c r="D13" s="56" t="s">
        <v>110</v>
      </c>
      <c r="E13" s="289"/>
      <c r="G13" s="87"/>
      <c r="H13" s="71"/>
      <c r="I13" s="72"/>
      <c r="J13" s="76"/>
      <c r="K13" s="74"/>
      <c r="L13" s="73"/>
      <c r="M13" s="73"/>
      <c r="N13" s="298"/>
      <c r="O13" s="298"/>
      <c r="P13" s="299"/>
    </row>
    <row r="14" spans="1:16" ht="21" customHeight="1">
      <c r="A14" s="111" t="s">
        <v>144</v>
      </c>
      <c r="B14" s="61">
        <v>0.98</v>
      </c>
      <c r="C14" s="60"/>
      <c r="D14" s="56" t="s">
        <v>111</v>
      </c>
      <c r="E14" s="289"/>
      <c r="G14" s="87"/>
      <c r="H14" s="71"/>
      <c r="I14" s="72"/>
      <c r="J14" s="76"/>
      <c r="K14" s="74"/>
      <c r="L14" s="73"/>
      <c r="M14" s="73"/>
      <c r="N14" s="298"/>
      <c r="O14" s="298"/>
      <c r="P14" s="299"/>
    </row>
    <row r="15" spans="1:16" ht="21" customHeight="1">
      <c r="A15" s="111" t="s">
        <v>133</v>
      </c>
      <c r="B15" s="135" t="e">
        <f>'ورودي ها'!B13</f>
        <v>#DIV/0!</v>
      </c>
      <c r="C15" s="60" t="s">
        <v>48</v>
      </c>
      <c r="D15" s="56" t="s">
        <v>182</v>
      </c>
      <c r="E15" s="289"/>
      <c r="G15" s="87"/>
      <c r="H15" s="71"/>
      <c r="I15" s="72"/>
      <c r="J15" s="76"/>
      <c r="K15" s="74"/>
      <c r="L15" s="73"/>
      <c r="M15" s="73"/>
      <c r="N15" s="298"/>
      <c r="O15" s="298"/>
      <c r="P15" s="299"/>
    </row>
    <row r="16" spans="1:16" ht="19.5" customHeight="1">
      <c r="A16" s="111" t="s">
        <v>134</v>
      </c>
      <c r="B16" s="61">
        <v>105</v>
      </c>
      <c r="C16" s="60" t="s">
        <v>48</v>
      </c>
      <c r="D16" s="56" t="s">
        <v>112</v>
      </c>
      <c r="E16" s="289"/>
      <c r="G16" s="87"/>
      <c r="H16" s="71"/>
      <c r="I16" s="72"/>
      <c r="J16" s="76"/>
      <c r="K16" s="74"/>
      <c r="L16" s="73"/>
      <c r="M16" s="73"/>
      <c r="N16" s="298"/>
      <c r="O16" s="298"/>
      <c r="P16" s="299"/>
    </row>
    <row r="17" spans="1:16" ht="18.75">
      <c r="A17" s="112" t="s">
        <v>135</v>
      </c>
      <c r="B17" s="113">
        <f>IF('ورودي ها'!B29="دارد",محاسبات!B9*محاسبات!B11*محاسبات!B13,0)</f>
        <v>0</v>
      </c>
      <c r="C17" s="114" t="s">
        <v>43</v>
      </c>
      <c r="D17" s="115" t="s">
        <v>113</v>
      </c>
      <c r="E17" s="290"/>
      <c r="G17" s="87"/>
      <c r="H17" s="71"/>
      <c r="I17" s="72"/>
      <c r="J17" s="76"/>
      <c r="K17" s="74"/>
      <c r="L17" s="73"/>
      <c r="M17" s="73"/>
      <c r="N17" s="298"/>
      <c r="O17" s="298"/>
      <c r="P17" s="76"/>
    </row>
    <row r="18" spans="1:16" ht="18.75">
      <c r="A18" s="106"/>
      <c r="B18" s="107">
        <f>'ورودي ها'!B18</f>
        <v>0</v>
      </c>
      <c r="C18" s="120"/>
      <c r="D18" s="109" t="s">
        <v>114</v>
      </c>
      <c r="E18" s="288" t="s">
        <v>196</v>
      </c>
      <c r="G18" s="87"/>
      <c r="H18" s="71"/>
      <c r="I18" s="72"/>
      <c r="J18" s="76"/>
      <c r="K18" s="74"/>
      <c r="L18" s="73"/>
      <c r="M18" s="73"/>
      <c r="N18" s="298"/>
      <c r="O18" s="298"/>
      <c r="P18" s="76"/>
    </row>
    <row r="19" spans="1:16" ht="21.75" customHeight="1">
      <c r="A19" s="111" t="s">
        <v>137</v>
      </c>
      <c r="B19" s="61" t="b">
        <f>IF('ورودي ها'!B18='مشخصات ريلها'!B1,'مشخصات ريلها'!B2,IF('ورودي ها'!B18='مشخصات ريلها'!C1,'مشخصات ريلها'!C2))</f>
        <v>0</v>
      </c>
      <c r="C19" s="60" t="s">
        <v>50</v>
      </c>
      <c r="D19" s="56" t="s">
        <v>115</v>
      </c>
      <c r="E19" s="289"/>
      <c r="G19" s="87"/>
      <c r="H19" s="71"/>
      <c r="I19" s="72"/>
      <c r="J19" s="76"/>
      <c r="K19" s="74"/>
      <c r="L19" s="73"/>
      <c r="M19" s="73"/>
      <c r="N19" s="292"/>
      <c r="O19" s="292"/>
      <c r="P19" s="294"/>
    </row>
    <row r="20" spans="1:16" ht="22.5" customHeight="1">
      <c r="A20" s="111" t="s">
        <v>138</v>
      </c>
      <c r="B20" s="61" t="b">
        <f>IF('ورودي ها'!B18='مشخصات ريلها'!B1,'مشخصات ريلها'!B3,IF('ورودي ها'!B18='مشخصات ريلها'!C1,'مشخصات ريلها'!C3))</f>
        <v>0</v>
      </c>
      <c r="C20" s="60" t="s">
        <v>44</v>
      </c>
      <c r="D20" s="56" t="s">
        <v>116</v>
      </c>
      <c r="E20" s="289"/>
      <c r="G20" s="91"/>
      <c r="H20" s="71"/>
      <c r="I20" s="72"/>
      <c r="J20" s="77"/>
      <c r="K20" s="74"/>
      <c r="L20" s="73"/>
      <c r="M20" s="73"/>
      <c r="N20" s="292"/>
      <c r="O20" s="292"/>
      <c r="P20" s="294"/>
    </row>
    <row r="21" spans="1:16" ht="23.25" customHeight="1">
      <c r="A21" s="111" t="s">
        <v>143</v>
      </c>
      <c r="B21" s="61" t="b">
        <f>IF('ورودي ها'!B18='مشخصات ريلها'!B1,'مشخصات ريلها'!B4,IF('ورودي ها'!B18='مشخصات ريلها'!C1,'مشخصات ريلها'!C4))</f>
        <v>0</v>
      </c>
      <c r="C21" s="60" t="s">
        <v>46</v>
      </c>
      <c r="D21" s="56" t="s">
        <v>158</v>
      </c>
      <c r="E21" s="289"/>
      <c r="G21" s="91"/>
      <c r="H21" s="71"/>
      <c r="I21" s="72"/>
      <c r="J21" s="77"/>
      <c r="K21" s="74"/>
      <c r="L21" s="73"/>
      <c r="M21" s="73"/>
      <c r="N21" s="292"/>
      <c r="O21" s="292"/>
      <c r="P21" s="294"/>
    </row>
    <row r="22" spans="1:16" ht="18.75">
      <c r="A22" s="111" t="s">
        <v>142</v>
      </c>
      <c r="B22" s="61" t="b">
        <f>IF('ورودي ها'!B18='مشخصات ريلها'!B1,'مشخصات ريلها'!B5,IF('ورودي ها'!B18='مشخصات ريلها'!C1,'مشخصات ريلها'!C5))</f>
        <v>0</v>
      </c>
      <c r="C22" s="60" t="s">
        <v>43</v>
      </c>
      <c r="D22" s="56" t="s">
        <v>157</v>
      </c>
      <c r="E22" s="289"/>
      <c r="G22" s="91"/>
      <c r="H22" s="71"/>
      <c r="I22" s="72"/>
      <c r="J22" s="77"/>
      <c r="K22" s="74"/>
      <c r="L22" s="73"/>
      <c r="M22" s="73"/>
      <c r="N22" s="292"/>
      <c r="O22" s="292"/>
      <c r="P22" s="294"/>
    </row>
    <row r="23" spans="1:16" ht="20.25" customHeight="1">
      <c r="A23" s="111" t="s">
        <v>141</v>
      </c>
      <c r="B23" s="61">
        <f>('ورودي ها'!B2*300+'ورودي ها'!B21)/100</f>
        <v>0</v>
      </c>
      <c r="C23" s="60" t="s">
        <v>45</v>
      </c>
      <c r="D23" s="56" t="s">
        <v>117</v>
      </c>
      <c r="E23" s="289"/>
      <c r="G23" s="91"/>
      <c r="H23" s="71"/>
      <c r="I23" s="72"/>
      <c r="J23" s="77"/>
      <c r="K23" s="74"/>
      <c r="L23" s="73"/>
      <c r="M23" s="73"/>
      <c r="N23" s="292"/>
      <c r="O23" s="292"/>
      <c r="P23" s="294"/>
    </row>
    <row r="24" spans="1:16" ht="18.75">
      <c r="A24" s="112" t="s">
        <v>185</v>
      </c>
      <c r="B24" s="113">
        <f>'ورودي ها'!B5*10</f>
        <v>0</v>
      </c>
      <c r="C24" s="114" t="s">
        <v>44</v>
      </c>
      <c r="D24" s="115" t="s">
        <v>181</v>
      </c>
      <c r="E24" s="290"/>
      <c r="G24" s="91"/>
      <c r="H24" s="71"/>
      <c r="I24" s="72"/>
      <c r="J24" s="77"/>
      <c r="K24" s="74"/>
      <c r="L24" s="73"/>
      <c r="M24" s="73"/>
      <c r="N24" s="292"/>
      <c r="O24" s="292"/>
      <c r="P24" s="294"/>
    </row>
    <row r="25" spans="1:16" ht="19.5" customHeight="1">
      <c r="A25" s="119" t="s">
        <v>140</v>
      </c>
      <c r="B25" s="107">
        <v>9.81</v>
      </c>
      <c r="C25" s="120" t="s">
        <v>49</v>
      </c>
      <c r="D25" s="109" t="s">
        <v>118</v>
      </c>
      <c r="E25" s="295" t="s">
        <v>197</v>
      </c>
      <c r="G25" s="91"/>
      <c r="H25" s="71"/>
      <c r="I25" s="72"/>
      <c r="J25" s="77"/>
      <c r="K25" s="74"/>
      <c r="L25" s="73"/>
      <c r="M25" s="73"/>
      <c r="N25" s="292"/>
      <c r="O25" s="292"/>
      <c r="P25" s="294"/>
    </row>
    <row r="26" spans="1:16" ht="22.5" customHeight="1">
      <c r="A26" s="111" t="s">
        <v>139</v>
      </c>
      <c r="B26" s="61">
        <v>0.09</v>
      </c>
      <c r="C26" s="60"/>
      <c r="D26" s="56" t="s">
        <v>119</v>
      </c>
      <c r="E26" s="296"/>
      <c r="G26" s="81"/>
      <c r="H26" s="79"/>
      <c r="I26" s="80"/>
      <c r="J26" s="77"/>
      <c r="K26" s="81"/>
      <c r="L26" s="77"/>
      <c r="M26" s="77"/>
      <c r="N26" s="292"/>
      <c r="O26" s="293"/>
      <c r="P26" s="294"/>
    </row>
    <row r="27" spans="1:16" ht="21.75" customHeight="1">
      <c r="A27" s="110"/>
      <c r="B27" s="300">
        <f>'ورودي ها'!B6</f>
        <v>0</v>
      </c>
      <c r="C27" s="300"/>
      <c r="D27" s="56" t="s">
        <v>161</v>
      </c>
      <c r="E27" s="296"/>
      <c r="G27" s="92"/>
      <c r="H27" s="79"/>
      <c r="I27" s="80"/>
      <c r="J27" s="77"/>
      <c r="K27" s="81"/>
      <c r="L27" s="77"/>
      <c r="M27" s="77"/>
      <c r="N27" s="292"/>
      <c r="O27" s="293"/>
      <c r="P27" s="294"/>
    </row>
    <row r="28" spans="1:16" ht="21.75" customHeight="1">
      <c r="A28" s="110"/>
      <c r="B28" s="300">
        <f>'ورودي ها'!B7</f>
        <v>0</v>
      </c>
      <c r="C28" s="300"/>
      <c r="D28" s="56" t="s">
        <v>160</v>
      </c>
      <c r="E28" s="296"/>
      <c r="G28" s="92"/>
      <c r="H28" s="79"/>
      <c r="I28" s="80"/>
      <c r="J28" s="77"/>
      <c r="K28" s="81"/>
      <c r="L28" s="77"/>
      <c r="M28" s="77"/>
      <c r="N28" s="78"/>
      <c r="O28" s="96"/>
      <c r="P28" s="294"/>
    </row>
    <row r="29" spans="1:16" ht="18.75" customHeight="1">
      <c r="A29" s="110"/>
      <c r="B29" s="61">
        <f>'ورودي ها'!B8</f>
        <v>0</v>
      </c>
      <c r="C29" s="60" t="s">
        <v>51</v>
      </c>
      <c r="D29" s="56" t="s">
        <v>32</v>
      </c>
      <c r="E29" s="296"/>
      <c r="G29" s="91"/>
      <c r="H29" s="79"/>
      <c r="I29" s="80"/>
      <c r="J29" s="77"/>
      <c r="K29" s="82"/>
      <c r="L29" s="77"/>
      <c r="M29" s="77"/>
      <c r="N29" s="292"/>
      <c r="O29" s="293"/>
      <c r="P29" s="294"/>
    </row>
    <row r="30" spans="1:16" ht="19.5" customHeight="1">
      <c r="A30" s="111" t="s">
        <v>132</v>
      </c>
      <c r="B30" s="65">
        <f>'ورودي ها'!B9</f>
        <v>0</v>
      </c>
      <c r="C30" s="62" t="s">
        <v>47</v>
      </c>
      <c r="D30" s="56" t="s">
        <v>120</v>
      </c>
      <c r="E30" s="296"/>
      <c r="G30" s="87"/>
      <c r="H30" s="79"/>
      <c r="I30" s="80"/>
      <c r="J30" s="77"/>
      <c r="K30" s="82"/>
      <c r="L30" s="77"/>
      <c r="M30" s="77"/>
      <c r="N30" s="292"/>
      <c r="O30" s="293"/>
      <c r="P30" s="294"/>
    </row>
    <row r="31" spans="1:16" ht="15.75">
      <c r="A31" s="111" t="s">
        <v>145</v>
      </c>
      <c r="B31" s="122">
        <f>'ورودي ها'!B22</f>
        <v>0</v>
      </c>
      <c r="C31" s="60" t="s">
        <v>151</v>
      </c>
      <c r="D31" s="56" t="s">
        <v>121</v>
      </c>
      <c r="E31" s="296"/>
      <c r="G31" s="87"/>
      <c r="H31" s="79"/>
      <c r="I31" s="80"/>
      <c r="J31" s="77"/>
      <c r="K31" s="82"/>
      <c r="L31" s="77"/>
      <c r="M31" s="77"/>
      <c r="N31" s="77"/>
      <c r="O31" s="78"/>
      <c r="P31" s="294"/>
    </row>
    <row r="32" spans="1:16" ht="15.75">
      <c r="A32" s="112" t="s">
        <v>146</v>
      </c>
      <c r="B32" s="124">
        <f>'ورودي ها'!B23</f>
        <v>0</v>
      </c>
      <c r="C32" s="114" t="s">
        <v>151</v>
      </c>
      <c r="D32" s="115" t="s">
        <v>122</v>
      </c>
      <c r="E32" s="297"/>
      <c r="G32" s="91"/>
      <c r="H32" s="79"/>
      <c r="I32" s="80"/>
      <c r="J32" s="77"/>
      <c r="K32" s="74"/>
      <c r="L32" s="77"/>
      <c r="M32" s="77"/>
      <c r="N32" s="77"/>
      <c r="O32" s="78"/>
      <c r="P32" s="294"/>
    </row>
    <row r="33" spans="1:16" ht="16.5" thickBot="1">
      <c r="A33" s="116"/>
      <c r="B33" s="61"/>
      <c r="C33" s="60"/>
      <c r="D33" s="56"/>
      <c r="E33" s="117"/>
      <c r="G33" s="91"/>
      <c r="H33" s="79"/>
      <c r="I33" s="80"/>
      <c r="J33" s="77"/>
      <c r="K33" s="74"/>
      <c r="L33" s="77"/>
      <c r="M33" s="77"/>
      <c r="N33" s="77"/>
      <c r="O33" s="78"/>
      <c r="P33" s="103"/>
    </row>
    <row r="34" spans="1:16" ht="16.5" thickBot="1">
      <c r="A34" s="301" t="s">
        <v>54</v>
      </c>
      <c r="B34" s="302"/>
      <c r="C34" s="302"/>
      <c r="D34" s="302"/>
      <c r="E34" s="303"/>
      <c r="G34" s="91"/>
      <c r="H34" s="79"/>
      <c r="I34" s="80"/>
      <c r="J34" s="77"/>
      <c r="K34" s="74"/>
      <c r="L34" s="77"/>
      <c r="M34" s="77"/>
      <c r="N34" s="77"/>
      <c r="O34" s="78"/>
      <c r="P34" s="291"/>
    </row>
    <row r="35" spans="1:16" ht="15.75">
      <c r="A35" s="97"/>
      <c r="B35" s="12"/>
      <c r="C35" s="59"/>
      <c r="D35" s="12"/>
      <c r="E35" s="13"/>
      <c r="G35" s="91"/>
      <c r="H35" s="79"/>
      <c r="I35" s="80"/>
      <c r="J35" s="77"/>
      <c r="K35" s="74"/>
      <c r="L35" s="77"/>
      <c r="M35" s="77"/>
      <c r="N35" s="77"/>
      <c r="O35" s="78"/>
      <c r="P35" s="291"/>
    </row>
    <row r="36" spans="1:16" ht="15.75">
      <c r="A36" s="98" t="s">
        <v>55</v>
      </c>
      <c r="B36" s="61">
        <f>B9*B13*B11</f>
        <v>0</v>
      </c>
      <c r="C36" s="60" t="s">
        <v>43</v>
      </c>
      <c r="D36" s="56" t="s">
        <v>98</v>
      </c>
      <c r="E36" s="9"/>
      <c r="G36" s="91"/>
      <c r="H36" s="79"/>
      <c r="I36" s="80"/>
      <c r="J36" s="77"/>
      <c r="K36" s="74"/>
      <c r="L36" s="77"/>
      <c r="M36" s="77"/>
      <c r="N36" s="77"/>
      <c r="O36" s="78"/>
      <c r="P36" s="93"/>
    </row>
    <row r="37" spans="1:16" ht="22.5" customHeight="1">
      <c r="A37" s="99"/>
      <c r="B37" s="61"/>
      <c r="C37" s="60"/>
      <c r="D37" s="8"/>
      <c r="E37" s="9"/>
    </row>
    <row r="38" spans="1:16" ht="18.75" customHeight="1">
      <c r="A38" s="98" t="s">
        <v>57</v>
      </c>
      <c r="B38" s="61" t="e">
        <f>(((B4+B5)/'ورودي ها'!B27)+B36)*B25/B9</f>
        <v>#DIV/0!</v>
      </c>
      <c r="C38" s="60" t="s">
        <v>53</v>
      </c>
      <c r="D38" s="56" t="s">
        <v>101</v>
      </c>
      <c r="E38" s="9"/>
    </row>
    <row r="39" spans="1:16" ht="16.5">
      <c r="A39" s="100"/>
      <c r="B39" s="69"/>
      <c r="C39" s="64"/>
      <c r="D39" s="8"/>
      <c r="E39" s="9"/>
    </row>
    <row r="40" spans="1:16" ht="15.75">
      <c r="A40" s="98" t="s">
        <v>58</v>
      </c>
      <c r="B40" s="61" t="e">
        <f>INT(B12/B38)</f>
        <v>#DIV/0!</v>
      </c>
      <c r="C40" s="62"/>
      <c r="D40" s="56" t="s">
        <v>99</v>
      </c>
      <c r="E40" s="9"/>
      <c r="F40" s="51"/>
      <c r="G40" s="51"/>
      <c r="H40" s="51"/>
      <c r="I40" s="51"/>
      <c r="J40" s="51"/>
      <c r="K40" s="7"/>
    </row>
    <row r="41" spans="1:16" ht="15.75">
      <c r="A41" s="98"/>
      <c r="B41" s="61"/>
      <c r="C41" s="62"/>
      <c r="D41" s="56"/>
      <c r="E41" s="9"/>
      <c r="F41" s="51"/>
      <c r="G41" s="51"/>
      <c r="H41" s="51"/>
      <c r="I41" s="51"/>
      <c r="J41" s="51"/>
      <c r="K41" s="7"/>
    </row>
    <row r="42" spans="1:16" ht="21" thickBot="1">
      <c r="A42" s="101" t="s">
        <v>154</v>
      </c>
      <c r="B42" s="70" t="e">
        <f>IF(B40&lt;12,"&lt;","&gt;")</f>
        <v>#DIV/0!</v>
      </c>
      <c r="C42" s="63">
        <v>12</v>
      </c>
      <c r="D42" s="95" t="e">
        <f>IF(B40&lt;12,"ERROR","OK")</f>
        <v>#DIV/0!</v>
      </c>
      <c r="E42" s="11"/>
      <c r="F42" s="51"/>
      <c r="G42" s="51"/>
      <c r="H42" s="51"/>
      <c r="I42" s="51"/>
      <c r="J42" s="51"/>
      <c r="K42" s="7"/>
    </row>
    <row r="43" spans="1:16" ht="16.5" thickBot="1">
      <c r="A43" s="301" t="s">
        <v>183</v>
      </c>
      <c r="B43" s="302"/>
      <c r="C43" s="302"/>
      <c r="D43" s="302"/>
      <c r="E43" s="303"/>
      <c r="F43" s="51"/>
      <c r="G43" s="51"/>
      <c r="H43" s="51"/>
      <c r="I43" s="51"/>
      <c r="J43" s="51"/>
      <c r="K43" s="7"/>
    </row>
    <row r="44" spans="1:16" ht="15.75">
      <c r="A44" s="98" t="s">
        <v>59</v>
      </c>
      <c r="B44" s="122">
        <f>(B5+B4/2)*'ورودي ها'!F15</f>
        <v>0</v>
      </c>
      <c r="C44" s="60" t="s">
        <v>43</v>
      </c>
      <c r="D44" s="56" t="s">
        <v>85</v>
      </c>
      <c r="E44" s="9"/>
      <c r="F44" s="51"/>
      <c r="G44" s="51"/>
      <c r="H44" s="51"/>
      <c r="I44" s="51"/>
      <c r="J44" s="51"/>
      <c r="K44" s="7"/>
    </row>
    <row r="45" spans="1:16" ht="15.75">
      <c r="A45" s="99"/>
      <c r="B45" s="8"/>
      <c r="C45" s="8"/>
      <c r="D45" s="8"/>
      <c r="E45" s="9"/>
      <c r="F45" s="51"/>
      <c r="G45" s="51"/>
      <c r="H45" s="51"/>
      <c r="I45" s="51"/>
      <c r="J45" s="51"/>
      <c r="K45" s="7"/>
    </row>
    <row r="46" spans="1:16" ht="15.75">
      <c r="A46" s="98" t="s">
        <v>76</v>
      </c>
      <c r="B46" s="61" t="e">
        <f>(B4+B5+B44)/'ورودي ها'!B27+B36+B17</f>
        <v>#DIV/0!</v>
      </c>
      <c r="C46" s="8" t="s">
        <v>43</v>
      </c>
      <c r="D46" s="56" t="s">
        <v>92</v>
      </c>
      <c r="E46" s="9"/>
      <c r="F46" s="51"/>
      <c r="G46" s="51"/>
      <c r="H46" s="51"/>
      <c r="I46" s="51"/>
      <c r="J46" s="51"/>
      <c r="K46" s="7"/>
    </row>
    <row r="47" spans="1:16" ht="15.75">
      <c r="A47" s="99"/>
      <c r="B47" s="61"/>
      <c r="C47" s="8"/>
      <c r="D47" s="8"/>
      <c r="E47" s="9"/>
      <c r="F47" s="51"/>
      <c r="G47" s="51"/>
      <c r="H47" s="51"/>
      <c r="I47" s="51"/>
      <c r="J47" s="51"/>
      <c r="K47" s="7"/>
    </row>
    <row r="48" spans="1:16" ht="15.75">
      <c r="A48" s="98" t="s">
        <v>77</v>
      </c>
      <c r="B48" s="61" t="e">
        <f>(((B4+B5-B44)/'ورودي ها'!B27)-B17+(B36/'ورودي ها'!B27))/(B14)</f>
        <v>#DIV/0!</v>
      </c>
      <c r="C48" s="8"/>
      <c r="D48" s="56" t="s">
        <v>184</v>
      </c>
      <c r="E48" s="9"/>
      <c r="F48" s="51"/>
      <c r="G48" s="51"/>
      <c r="H48" s="51"/>
      <c r="I48" s="51"/>
      <c r="J48" s="51"/>
      <c r="K48" s="7"/>
    </row>
    <row r="49" spans="1:11" ht="15.75">
      <c r="A49" s="99"/>
      <c r="B49" s="61"/>
      <c r="C49" s="8"/>
      <c r="D49" s="8"/>
      <c r="E49" s="9"/>
      <c r="F49" s="51"/>
      <c r="G49" s="51"/>
      <c r="H49" s="51"/>
      <c r="I49" s="51"/>
      <c r="J49" s="51"/>
      <c r="K49" s="7"/>
    </row>
    <row r="50" spans="1:11" ht="15.75">
      <c r="A50" s="98" t="s">
        <v>78</v>
      </c>
      <c r="B50" s="61" t="e">
        <f>B48*'ورودي ها'!B17*B25/(B31*B32)*10</f>
        <v>#DIV/0!</v>
      </c>
      <c r="C50" s="8" t="s">
        <v>51</v>
      </c>
      <c r="D50" s="56" t="s">
        <v>93</v>
      </c>
      <c r="E50" s="9"/>
      <c r="F50" s="51"/>
      <c r="G50" s="51"/>
      <c r="H50" s="51"/>
      <c r="I50" s="51"/>
      <c r="J50" s="51"/>
      <c r="K50" s="7"/>
    </row>
    <row r="51" spans="1:11" ht="15.75">
      <c r="A51" s="99"/>
      <c r="B51" s="67"/>
      <c r="C51" s="8"/>
      <c r="D51" s="8"/>
      <c r="E51" s="9"/>
      <c r="F51" s="51"/>
      <c r="G51" s="51"/>
      <c r="H51" s="51"/>
      <c r="I51" s="51"/>
      <c r="J51" s="51"/>
      <c r="K51" s="7"/>
    </row>
    <row r="52" spans="1:11" ht="21" thickBot="1">
      <c r="A52" s="102" t="s">
        <v>79</v>
      </c>
      <c r="B52" s="68" t="e">
        <f>IF(B50&lt;B29,"&lt;","&gt;")</f>
        <v>#DIV/0!</v>
      </c>
      <c r="C52" s="63">
        <f>B29</f>
        <v>0</v>
      </c>
      <c r="D52" s="95" t="e">
        <f>IF(B50&lt;B29,"OK","ERROR")</f>
        <v>#DIV/0!</v>
      </c>
      <c r="E52" s="11"/>
      <c r="F52" s="51"/>
      <c r="G52" s="51"/>
      <c r="H52" s="51"/>
      <c r="I52" s="51"/>
      <c r="J52" s="51"/>
      <c r="K52" s="7"/>
    </row>
    <row r="53" spans="1:11" ht="21.75" customHeight="1" thickBot="1">
      <c r="A53" s="301" t="s">
        <v>84</v>
      </c>
      <c r="B53" s="302"/>
      <c r="C53" s="302"/>
      <c r="D53" s="302"/>
      <c r="E53" s="303"/>
    </row>
    <row r="54" spans="1:11" ht="21.75" customHeight="1">
      <c r="A54" s="132" t="s">
        <v>56</v>
      </c>
      <c r="B54" s="129">
        <f>4*B26*(1-SIN(B16*PI()/360))/(PI()-(B16*PI()/180)-SIN(B16*PI()/180))</f>
        <v>0.2168436651755061</v>
      </c>
      <c r="C54" s="12"/>
      <c r="D54" s="133"/>
      <c r="E54" s="13"/>
    </row>
    <row r="55" spans="1:11" ht="11.25" customHeight="1">
      <c r="A55" s="99"/>
      <c r="B55" s="61"/>
      <c r="C55" s="8"/>
      <c r="D55" s="8"/>
      <c r="E55" s="9"/>
    </row>
    <row r="56" spans="1:11" ht="15">
      <c r="A56" s="98" t="s">
        <v>60</v>
      </c>
      <c r="B56" s="127" t="e">
        <f>EXP(B54*B15*PI()/180)</f>
        <v>#DIV/0!</v>
      </c>
      <c r="C56" s="8"/>
      <c r="D56" s="56"/>
      <c r="E56" s="9"/>
    </row>
    <row r="57" spans="1:11" ht="15">
      <c r="A57" s="98" t="s">
        <v>61</v>
      </c>
      <c r="B57" s="94">
        <f>IF('ورودي ها'!B17&lt;=0.63,1.1,IF('ورودي ها'!B17&lt;=1,1.15,IF('ورودي ها'!B17&lt;=1.6,1.2,IF('ورودي ها'!B17&lt;=2.5,1.25))))</f>
        <v>1.1000000000000001</v>
      </c>
      <c r="C57" s="58" t="s">
        <v>62</v>
      </c>
      <c r="D57" s="94">
        <f>IF('ورودي ها'!B31="دارد",1,1.2)</f>
        <v>1.2</v>
      </c>
      <c r="E57" s="9"/>
    </row>
    <row r="58" spans="1:11" ht="11.25" customHeight="1">
      <c r="A58" s="10"/>
      <c r="B58" s="7"/>
      <c r="C58" s="7"/>
      <c r="D58" s="7"/>
      <c r="E58" s="9"/>
    </row>
    <row r="59" spans="1:11" ht="15">
      <c r="A59" s="99"/>
      <c r="B59" s="304" t="s">
        <v>100</v>
      </c>
      <c r="C59" s="304"/>
      <c r="D59" s="304"/>
      <c r="E59" s="83"/>
    </row>
    <row r="60" spans="1:11" ht="15">
      <c r="A60" s="98" t="s">
        <v>67</v>
      </c>
      <c r="B60" s="61" t="e">
        <f>((1.25*B4+B5)/'ورودي ها'!B27+B36-B17)*B25/B9</f>
        <v>#DIV/0!</v>
      </c>
      <c r="C60" s="60" t="s">
        <v>53</v>
      </c>
      <c r="D60" s="7"/>
      <c r="E60" s="9"/>
    </row>
    <row r="61" spans="1:11" ht="15">
      <c r="A61" s="98" t="s">
        <v>63</v>
      </c>
      <c r="B61" s="61" t="e">
        <f>B44*B25/('ورودي ها'!B27*B9)</f>
        <v>#DIV/0!</v>
      </c>
      <c r="C61" s="60" t="s">
        <v>53</v>
      </c>
      <c r="D61" s="8"/>
      <c r="E61" s="9"/>
    </row>
    <row r="62" spans="1:11" ht="16.5">
      <c r="A62" s="98" t="s">
        <v>64</v>
      </c>
      <c r="B62" s="127" t="e">
        <f>B60/B61*B57*D57</f>
        <v>#DIV/0!</v>
      </c>
      <c r="C62" s="50"/>
      <c r="D62" s="8"/>
      <c r="E62" s="9"/>
    </row>
    <row r="63" spans="1:11" ht="21" thickBot="1">
      <c r="A63" s="101" t="s">
        <v>153</v>
      </c>
      <c r="B63" s="70" t="e">
        <f>IF(B62&lt;=B56,"&lt;","&gt;")</f>
        <v>#DIV/0!</v>
      </c>
      <c r="C63" s="54" t="s">
        <v>65</v>
      </c>
      <c r="D63" s="95" t="e">
        <f>IF(B62&gt;B56,"ERROR","OK")</f>
        <v>#DIV/0!</v>
      </c>
      <c r="E63" s="11"/>
    </row>
    <row r="64" spans="1:11" ht="16.5" customHeight="1">
      <c r="A64" s="128"/>
      <c r="B64" s="129"/>
      <c r="C64" s="130"/>
      <c r="D64" s="131"/>
      <c r="E64" s="13"/>
    </row>
    <row r="65" spans="1:7" ht="15">
      <c r="A65" s="100"/>
      <c r="B65" s="69"/>
      <c r="C65" s="304" t="s">
        <v>86</v>
      </c>
      <c r="D65" s="304"/>
      <c r="E65" s="83"/>
    </row>
    <row r="66" spans="1:7" ht="15">
      <c r="A66" s="98" t="s">
        <v>66</v>
      </c>
      <c r="B66" s="61" t="e">
        <f>(B44/'ورودي ها'!B27+B36-B17)*B25/B9</f>
        <v>#DIV/0!</v>
      </c>
      <c r="C66" s="60" t="s">
        <v>53</v>
      </c>
      <c r="D66" s="7"/>
      <c r="E66" s="9"/>
    </row>
    <row r="67" spans="1:7" ht="15">
      <c r="A67" s="98" t="s">
        <v>68</v>
      </c>
      <c r="B67" s="61" t="e">
        <f>B5/'ورودي ها'!B27*B25/B9</f>
        <v>#DIV/0!</v>
      </c>
      <c r="C67" s="60" t="s">
        <v>53</v>
      </c>
      <c r="D67" s="8"/>
      <c r="E67" s="9"/>
    </row>
    <row r="68" spans="1:7" ht="15">
      <c r="A68" s="98" t="s">
        <v>64</v>
      </c>
      <c r="B68" s="127" t="e">
        <f>B66/B67*B57*D57</f>
        <v>#DIV/0!</v>
      </c>
      <c r="C68" s="7"/>
      <c r="D68" s="7"/>
      <c r="E68" s="9"/>
    </row>
    <row r="69" spans="1:7" ht="21" thickBot="1">
      <c r="A69" s="101" t="s">
        <v>153</v>
      </c>
      <c r="B69" s="70" t="e">
        <f>IF(B68&lt;=B56,"&lt;","&gt;")</f>
        <v>#DIV/0!</v>
      </c>
      <c r="C69" s="54" t="s">
        <v>65</v>
      </c>
      <c r="D69" s="95" t="e">
        <f>IF(B68&lt;B56,"OK","ERROR")</f>
        <v>#DIV/0!</v>
      </c>
      <c r="E69" s="11"/>
    </row>
    <row r="70" spans="1:7" ht="16.5" thickBot="1">
      <c r="A70" s="301" t="s">
        <v>87</v>
      </c>
      <c r="B70" s="302"/>
      <c r="C70" s="302"/>
      <c r="D70" s="302"/>
      <c r="E70" s="303"/>
    </row>
    <row r="71" spans="1:7" ht="15">
      <c r="A71" s="98" t="s">
        <v>70</v>
      </c>
      <c r="B71" s="61">
        <f>(12.5+4*'ورودي ها'!B17)/(1+'ورودي ها'!B17)</f>
        <v>12.5</v>
      </c>
      <c r="C71" s="62" t="s">
        <v>46</v>
      </c>
      <c r="D71" s="56" t="s">
        <v>155</v>
      </c>
      <c r="E71" s="9"/>
    </row>
    <row r="72" spans="1:7" ht="15">
      <c r="A72" s="6"/>
      <c r="B72" s="65"/>
      <c r="C72" s="60"/>
      <c r="D72" s="8"/>
      <c r="E72" s="9"/>
    </row>
    <row r="73" spans="1:7" ht="15">
      <c r="A73" s="52" t="s">
        <v>69</v>
      </c>
      <c r="B73" s="61" t="e">
        <f>8*B38*COS(B16*PI()/360)/(('ورودي ها'!B9*10*'ورودي ها'!B16*(PI()-(B16*PI()/180)-SIN(B16*PI()/180))))</f>
        <v>#DIV/0!</v>
      </c>
      <c r="C73" s="62" t="s">
        <v>46</v>
      </c>
      <c r="D73" s="56" t="s">
        <v>156</v>
      </c>
      <c r="E73" s="9"/>
    </row>
    <row r="74" spans="1:7" ht="14.25">
      <c r="A74" s="6"/>
      <c r="B74" s="67"/>
      <c r="C74" s="8"/>
      <c r="D74" s="8"/>
      <c r="E74" s="9"/>
    </row>
    <row r="75" spans="1:7" ht="21.75" customHeight="1" thickBot="1">
      <c r="A75" s="53" t="s">
        <v>71</v>
      </c>
      <c r="B75" s="68" t="e">
        <f>IF(B73&lt;=B71,"&lt;","&gt;")</f>
        <v>#DIV/0!</v>
      </c>
      <c r="C75" s="54" t="s">
        <v>72</v>
      </c>
      <c r="D75" s="95" t="e">
        <f>IF(B73&lt;B71,"OK","ERROR")</f>
        <v>#DIV/0!</v>
      </c>
      <c r="E75" s="11"/>
      <c r="F75" s="51"/>
      <c r="G75" s="51"/>
    </row>
    <row r="76" spans="1:7" ht="16.5" thickBot="1">
      <c r="A76" s="301" t="s">
        <v>88</v>
      </c>
      <c r="B76" s="302"/>
      <c r="C76" s="302"/>
      <c r="D76" s="302"/>
      <c r="E76" s="303"/>
    </row>
    <row r="77" spans="1:7" ht="15">
      <c r="A77" s="98" t="s">
        <v>73</v>
      </c>
      <c r="B77" s="61" t="e">
        <f>'ورودي ها'!B5*10/محاسبات!B20</f>
        <v>#DIV/0!</v>
      </c>
      <c r="C77" s="8"/>
      <c r="D77" s="56" t="s">
        <v>91</v>
      </c>
      <c r="E77" s="9"/>
    </row>
    <row r="78" spans="1:7" ht="15">
      <c r="A78" s="98" t="s">
        <v>74</v>
      </c>
      <c r="B78" s="61" t="e">
        <f>0.0003*محاسبات!B77*محاسبات!B77-0.0359*محاسبات!B77+2.465</f>
        <v>#DIV/0!</v>
      </c>
      <c r="C78" s="8"/>
      <c r="D78" s="56" t="s">
        <v>90</v>
      </c>
      <c r="E78" s="9"/>
    </row>
    <row r="79" spans="1:7" ht="15">
      <c r="A79" s="99"/>
      <c r="B79" s="61"/>
      <c r="C79" s="8"/>
      <c r="D79" s="7"/>
      <c r="E79" s="9"/>
    </row>
    <row r="80" spans="1:7" ht="15">
      <c r="A80" s="98" t="s">
        <v>162</v>
      </c>
      <c r="B80" s="61" t="e">
        <f>B7*(B5+B4)*B78/B19</f>
        <v>#DIV/0!</v>
      </c>
      <c r="C80" s="8"/>
      <c r="D80" s="56" t="s">
        <v>89</v>
      </c>
      <c r="E80" s="9"/>
    </row>
    <row r="81" spans="1:5" ht="14.25">
      <c r="A81" s="99"/>
      <c r="B81" s="67"/>
      <c r="C81" s="8"/>
      <c r="D81" s="8"/>
      <c r="E81" s="9"/>
    </row>
    <row r="82" spans="1:5" ht="21" thickBot="1">
      <c r="A82" s="102" t="s">
        <v>75</v>
      </c>
      <c r="B82" s="68" t="e">
        <f>IF(B80&lt;140,"&lt;","&gt;")</f>
        <v>#DIV/0!</v>
      </c>
      <c r="C82" s="63">
        <v>140</v>
      </c>
      <c r="D82" s="95" t="e">
        <f>IF(B80&lt;140,"OK","ERROR")</f>
        <v>#DIV/0!</v>
      </c>
      <c r="E82" s="11"/>
    </row>
    <row r="83" spans="1:5" ht="16.5" thickBot="1">
      <c r="A83" s="301" t="s">
        <v>94</v>
      </c>
      <c r="B83" s="302"/>
      <c r="C83" s="302"/>
      <c r="D83" s="302"/>
      <c r="E83" s="303"/>
    </row>
    <row r="84" spans="1:5" ht="21.75" customHeight="1">
      <c r="A84" s="98" t="s">
        <v>80</v>
      </c>
      <c r="B84" s="61">
        <f>40*(B4+B5)</f>
        <v>0</v>
      </c>
      <c r="C84" s="60" t="s">
        <v>53</v>
      </c>
      <c r="D84" s="56" t="s">
        <v>95</v>
      </c>
      <c r="E84" s="14"/>
    </row>
    <row r="85" spans="1:5" ht="15" customHeight="1">
      <c r="A85" s="100"/>
      <c r="B85" s="65"/>
      <c r="C85" s="62"/>
      <c r="D85" s="7"/>
      <c r="E85" s="14"/>
    </row>
    <row r="86" spans="1:5" ht="21.75" customHeight="1">
      <c r="A86" s="98" t="s">
        <v>81</v>
      </c>
      <c r="B86" s="61">
        <f>40*B44</f>
        <v>0</v>
      </c>
      <c r="C86" s="60" t="s">
        <v>53</v>
      </c>
      <c r="D86" s="56" t="s">
        <v>96</v>
      </c>
      <c r="E86" s="14"/>
    </row>
    <row r="87" spans="1:5" ht="15" customHeight="1">
      <c r="A87" s="100"/>
      <c r="B87" s="65"/>
      <c r="C87" s="62"/>
      <c r="D87" s="7"/>
      <c r="E87" s="14"/>
    </row>
    <row r="88" spans="1:5" ht="15">
      <c r="A88" s="98" t="s">
        <v>83</v>
      </c>
      <c r="B88" s="61">
        <f>IF(B4&lt;1000,1500,2500)</f>
        <v>1500</v>
      </c>
      <c r="C88" s="60" t="s">
        <v>43</v>
      </c>
      <c r="D88" s="56" t="s">
        <v>164</v>
      </c>
      <c r="E88" s="14"/>
    </row>
    <row r="89" spans="1:5" ht="15" customHeight="1">
      <c r="A89" s="100"/>
      <c r="B89" s="65"/>
      <c r="C89" s="62"/>
      <c r="D89" s="7"/>
      <c r="E89" s="14"/>
    </row>
    <row r="90" spans="1:5" ht="15">
      <c r="A90" s="98" t="s">
        <v>82</v>
      </c>
      <c r="B90" s="61">
        <f>(B5+B4+B36+B17+2*B44+B92)*B25</f>
        <v>3924</v>
      </c>
      <c r="C90" s="60" t="s">
        <v>53</v>
      </c>
      <c r="D90" s="56" t="s">
        <v>97</v>
      </c>
      <c r="E90" s="14"/>
    </row>
    <row r="91" spans="1:5" ht="15" customHeight="1">
      <c r="A91" s="98"/>
      <c r="B91" s="61"/>
      <c r="C91" s="60"/>
      <c r="D91" s="56"/>
      <c r="E91" s="14"/>
    </row>
    <row r="92" spans="1:5" ht="15">
      <c r="A92" s="98" t="s">
        <v>147</v>
      </c>
      <c r="B92" s="61">
        <f>IF(B29&lt;=5.5,400,IF(B29&lt;=7.3,450,500))</f>
        <v>400</v>
      </c>
      <c r="C92" s="60" t="s">
        <v>43</v>
      </c>
      <c r="D92" s="56" t="s">
        <v>123</v>
      </c>
      <c r="E92" s="14"/>
    </row>
    <row r="93" spans="1:5" ht="15" customHeight="1">
      <c r="A93" s="98"/>
      <c r="B93" s="61"/>
      <c r="C93" s="60"/>
      <c r="D93" s="56"/>
      <c r="E93" s="14"/>
    </row>
    <row r="94" spans="1:5" ht="15.75" thickBot="1">
      <c r="A94" s="101" t="s">
        <v>165</v>
      </c>
      <c r="B94" s="66">
        <f>(10*B22*B23+B7*(B5+B4))</f>
        <v>0</v>
      </c>
      <c r="C94" s="63" t="s">
        <v>53</v>
      </c>
      <c r="D94" s="57" t="s">
        <v>149</v>
      </c>
      <c r="E94" s="15"/>
    </row>
    <row r="95" spans="1:5">
      <c r="A95" s="7"/>
      <c r="B95" s="7"/>
      <c r="C95" s="7"/>
      <c r="D95" s="7"/>
      <c r="E95" s="7"/>
    </row>
    <row r="96" spans="1:5" ht="20.25">
      <c r="A96" s="16"/>
      <c r="B96" s="16"/>
      <c r="C96" s="16"/>
      <c r="D96" s="16"/>
      <c r="E96" s="7"/>
    </row>
    <row r="97" spans="1:8" ht="20.25">
      <c r="A97" s="16"/>
      <c r="B97" s="16"/>
      <c r="C97" s="17"/>
      <c r="D97" s="7"/>
      <c r="E97" s="7"/>
    </row>
    <row r="98" spans="1:8" ht="20.25">
      <c r="A98" s="16"/>
      <c r="B98" s="16"/>
      <c r="C98" s="16"/>
      <c r="D98" s="7"/>
      <c r="E98" s="7"/>
    </row>
    <row r="99" spans="1:8" ht="20.25">
      <c r="A99" s="16"/>
      <c r="B99" s="16"/>
      <c r="C99" s="16"/>
      <c r="D99" s="7"/>
      <c r="E99" s="7"/>
    </row>
    <row r="100" spans="1:8" ht="20.25">
      <c r="A100" s="16"/>
      <c r="B100" s="16"/>
      <c r="C100" s="16"/>
      <c r="D100" s="7"/>
      <c r="E100" s="7"/>
    </row>
    <row r="101" spans="1:8" ht="20.25">
      <c r="A101" s="16"/>
      <c r="B101" s="16"/>
      <c r="C101" s="16"/>
      <c r="D101" s="7"/>
      <c r="E101" s="7"/>
    </row>
    <row r="102" spans="1:8" ht="20.25">
      <c r="A102" s="16"/>
      <c r="B102" s="16"/>
      <c r="C102" s="16"/>
      <c r="D102" s="7"/>
      <c r="E102" s="7"/>
    </row>
    <row r="103" spans="1:8">
      <c r="A103" s="7"/>
      <c r="B103" s="7"/>
      <c r="C103" s="7"/>
      <c r="D103" s="7"/>
      <c r="E103" s="7"/>
    </row>
    <row r="104" spans="1:8" ht="20.25">
      <c r="A104" s="16"/>
      <c r="B104" s="7"/>
      <c r="C104" s="7"/>
      <c r="D104" s="7"/>
      <c r="E104" s="7"/>
    </row>
    <row r="105" spans="1:8">
      <c r="A105" s="7"/>
      <c r="B105" s="7"/>
      <c r="C105" s="7"/>
      <c r="D105" s="7"/>
      <c r="E105" s="7"/>
    </row>
    <row r="106" spans="1:8">
      <c r="A106" s="7"/>
      <c r="B106" s="7"/>
      <c r="C106" s="7"/>
      <c r="D106" s="7"/>
      <c r="E106" s="7"/>
    </row>
    <row r="107" spans="1:8">
      <c r="A107" s="7"/>
      <c r="B107" s="7"/>
      <c r="C107" s="7"/>
      <c r="D107" s="7"/>
      <c r="E107" s="7"/>
    </row>
    <row r="108" spans="1:8" ht="20.25">
      <c r="A108" s="7"/>
      <c r="B108" s="7"/>
      <c r="C108" s="7"/>
      <c r="D108" s="7"/>
      <c r="E108" s="7"/>
      <c r="G108" s="7"/>
      <c r="H108" s="16"/>
    </row>
    <row r="109" spans="1:8" ht="20.25">
      <c r="A109" s="7"/>
      <c r="B109" s="7"/>
      <c r="C109" s="7"/>
      <c r="D109" s="7"/>
      <c r="E109" s="7"/>
      <c r="G109" s="7"/>
      <c r="H109" s="16"/>
    </row>
    <row r="110" spans="1:8" ht="20.25">
      <c r="A110" s="7"/>
      <c r="B110" s="7"/>
      <c r="C110" s="7"/>
      <c r="D110" s="7"/>
      <c r="E110" s="7"/>
      <c r="G110" s="7"/>
      <c r="H110" s="16"/>
    </row>
    <row r="111" spans="1:8" ht="20.25">
      <c r="G111" s="7"/>
      <c r="H111" s="16"/>
    </row>
    <row r="112" spans="1:8" ht="20.25">
      <c r="G112" s="7"/>
      <c r="H112" s="16"/>
    </row>
    <row r="113" spans="7:8" ht="20.25">
      <c r="G113" s="7"/>
      <c r="H113" s="16"/>
    </row>
  </sheetData>
  <sheetProtection selectLockedCells="1"/>
  <mergeCells count="44">
    <mergeCell ref="B28:C28"/>
    <mergeCell ref="B27:C27"/>
    <mergeCell ref="A83:E83"/>
    <mergeCell ref="A43:E43"/>
    <mergeCell ref="A76:E76"/>
    <mergeCell ref="A70:E70"/>
    <mergeCell ref="A53:E53"/>
    <mergeCell ref="A34:E34"/>
    <mergeCell ref="C65:D65"/>
    <mergeCell ref="B59:D59"/>
    <mergeCell ref="P1:P6"/>
    <mergeCell ref="N2:O2"/>
    <mergeCell ref="N4:O4"/>
    <mergeCell ref="N5:O5"/>
    <mergeCell ref="N11:O11"/>
    <mergeCell ref="P11:P16"/>
    <mergeCell ref="N12:O12"/>
    <mergeCell ref="N13:O13"/>
    <mergeCell ref="N14:O14"/>
    <mergeCell ref="N15:O15"/>
    <mergeCell ref="N16:O16"/>
    <mergeCell ref="N25:O25"/>
    <mergeCell ref="N17:O17"/>
    <mergeCell ref="N18:O18"/>
    <mergeCell ref="N30:O30"/>
    <mergeCell ref="N6:O6"/>
    <mergeCell ref="N7:O7"/>
    <mergeCell ref="N10:O10"/>
    <mergeCell ref="E2:E8"/>
    <mergeCell ref="P34:P35"/>
    <mergeCell ref="N19:O19"/>
    <mergeCell ref="N26:O26"/>
    <mergeCell ref="P26:P32"/>
    <mergeCell ref="N27:O27"/>
    <mergeCell ref="N29:O29"/>
    <mergeCell ref="P19:P25"/>
    <mergeCell ref="N20:O20"/>
    <mergeCell ref="E18:E24"/>
    <mergeCell ref="E9:E17"/>
    <mergeCell ref="E25:E32"/>
    <mergeCell ref="N21:O21"/>
    <mergeCell ref="N22:O22"/>
    <mergeCell ref="N23:O23"/>
    <mergeCell ref="N24:O24"/>
  </mergeCells>
  <phoneticPr fontId="1" type="noConversion"/>
  <dataValidations disablePrompts="1" xWindow="766" yWindow="277" count="7">
    <dataValidation type="whole" operator="lessThanOrEqual" allowBlank="1" showInputMessage="1" showErrorMessage="1" sqref="B62">
      <formula1>B56</formula1>
    </dataValidation>
    <dataValidation type="whole" operator="lessThanOrEqual" allowBlank="1" showInputMessage="1" showErrorMessage="1" sqref="B68">
      <formula1>B56</formula1>
    </dataValidation>
    <dataValidation type="whole" errorStyle="warning" operator="greaterThanOrEqual" allowBlank="1" showInputMessage="1" showErrorMessage="1" sqref="C97 B40:B41">
      <formula1>12</formula1>
    </dataValidation>
    <dataValidation type="whole" operator="lessThan" allowBlank="1" showInputMessage="1" showErrorMessage="1" sqref="B30">
      <formula1>100</formula1>
    </dataValidation>
    <dataValidation type="whole" operator="lessThan" allowBlank="1" sqref="B15">
      <formula1>180</formula1>
    </dataValidation>
    <dataValidation allowBlank="1" showInputMessage="1" showErrorMessage="1" promptTitle="سرعت كابين" prompt="سرعت كابين را وارد كنيد" sqref="B8"/>
    <dataValidation type="whole" errorStyle="information" allowBlank="1" showInputMessage="1" showErrorMessage="1" errorTitle="تعداد سيم بكسل بيشتر از 6 است" error="استفاده از اين سيم بكسل مجاز نمي باشد، از سيم بكسل با شماره بالاتر استفاده كنيد" promptTitle="تعداد سيم بكسل" prompt="تعداد سيم بكسل بايد كمتر از 6 عدد باشد" sqref="B9">
      <formula1>1</formula1>
      <formula2>6</formula2>
    </dataValidation>
  </dataValidations>
  <pageMargins left="0.6692913385826772" right="0.47244094488188981" top="2.2834645669291338" bottom="0.9055118110236221" header="0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2062" r:id="rId4">
          <objectPr defaultSize="0" r:id="rId5">
            <anchor moveWithCells="1" sizeWithCells="1">
              <from>
                <xdr:col>0</xdr:col>
                <xdr:colOff>9525</xdr:colOff>
                <xdr:row>69</xdr:row>
                <xdr:rowOff>0</xdr:rowOff>
              </from>
              <to>
                <xdr:col>0</xdr:col>
                <xdr:colOff>161925</xdr:colOff>
                <xdr:row>69</xdr:row>
                <xdr:rowOff>0</xdr:rowOff>
              </to>
            </anchor>
          </objectPr>
        </oleObject>
      </mc:Choice>
      <mc:Fallback>
        <oleObject progId="Equation.DSMT4" shapeId="2062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L85"/>
  <sheetViews>
    <sheetView rightToLeft="1" view="pageBreakPreview" zoomScale="115" zoomScaleNormal="130" zoomScaleSheetLayoutView="115" workbookViewId="0">
      <selection sqref="A1:B3"/>
    </sheetView>
  </sheetViews>
  <sheetFormatPr defaultRowHeight="12.75"/>
  <cols>
    <col min="1" max="1" width="23.5703125" style="147" customWidth="1"/>
    <col min="2" max="2" width="6.7109375" style="147" customWidth="1"/>
    <col min="3" max="3" width="13.7109375" style="147" customWidth="1"/>
    <col min="4" max="4" width="7.7109375" style="147" customWidth="1"/>
    <col min="5" max="5" width="16.5703125" style="147" customWidth="1"/>
    <col min="6" max="6" width="11.42578125" style="147" customWidth="1"/>
    <col min="7" max="7" width="16.85546875" style="147" customWidth="1"/>
  </cols>
  <sheetData>
    <row r="1" spans="1:7" ht="18.75" customHeight="1">
      <c r="A1" s="305" t="str">
        <f>CONCATENATE("شرکت بازرسی:","  ",'ورودي ها'!B134," ")</f>
        <v xml:space="preserve">شرکت بازرسی:   </v>
      </c>
      <c r="B1" s="306"/>
      <c r="C1" s="332" t="s">
        <v>209</v>
      </c>
      <c r="D1" s="333"/>
      <c r="E1" s="333"/>
      <c r="F1" s="162" t="s">
        <v>265</v>
      </c>
      <c r="G1" s="163">
        <f>'ورودي ها'!B1</f>
        <v>0</v>
      </c>
    </row>
    <row r="2" spans="1:7" ht="21.75" customHeight="1">
      <c r="A2" s="307"/>
      <c r="B2" s="308"/>
      <c r="C2" s="334"/>
      <c r="D2" s="335"/>
      <c r="E2" s="335"/>
      <c r="F2" s="164" t="s">
        <v>266</v>
      </c>
      <c r="G2" s="165"/>
    </row>
    <row r="3" spans="1:7" ht="21.75" customHeight="1" thickBot="1">
      <c r="A3" s="307"/>
      <c r="B3" s="308"/>
      <c r="C3" s="334"/>
      <c r="D3" s="335"/>
      <c r="E3" s="335"/>
      <c r="F3" s="164" t="s">
        <v>267</v>
      </c>
      <c r="G3" s="165"/>
    </row>
    <row r="4" spans="1:7" ht="25.5" customHeight="1">
      <c r="A4" s="340" t="s">
        <v>234</v>
      </c>
      <c r="B4" s="341"/>
      <c r="C4" s="341"/>
      <c r="D4" s="341"/>
      <c r="E4" s="341"/>
      <c r="F4" s="341"/>
      <c r="G4" s="342"/>
    </row>
    <row r="5" spans="1:7" ht="21.75" customHeight="1">
      <c r="A5" s="209" t="s">
        <v>200</v>
      </c>
      <c r="B5" s="210">
        <f>'ورودي ها'!B32</f>
        <v>0</v>
      </c>
      <c r="C5" s="211" t="s">
        <v>201</v>
      </c>
      <c r="D5" s="262" t="str">
        <f>CONCATENATE('ورودي ها'!B4," ","کیلوگرم")</f>
        <v xml:space="preserve"> کیلوگرم</v>
      </c>
      <c r="E5" s="211" t="str">
        <f>CONCATENATE('ورودي ها'!B3," ","نفر")</f>
        <v xml:space="preserve"> نفر</v>
      </c>
      <c r="F5" s="202" t="s">
        <v>202</v>
      </c>
      <c r="G5" s="212" t="str">
        <f>CONCATENATE('ورودي ها'!B33," ","m")</f>
        <v>-3 m</v>
      </c>
    </row>
    <row r="6" spans="1:7" ht="12" customHeight="1">
      <c r="A6" s="209" t="s">
        <v>225</v>
      </c>
      <c r="B6" s="213" t="str">
        <f>CONCATENATE('ورودي ها'!B34," ","m/s")</f>
        <v xml:space="preserve"> m/s</v>
      </c>
      <c r="C6" s="211" t="s">
        <v>328</v>
      </c>
      <c r="D6" s="214" t="str">
        <f>CONCATENATE('ورودي ها'!B35," ","m/s")</f>
        <v xml:space="preserve"> m/s</v>
      </c>
      <c r="E6" s="211" t="s">
        <v>327</v>
      </c>
      <c r="F6" s="324" t="str">
        <f>CONCATENATE('ورودي ها'!B2," ","توقف")</f>
        <v xml:space="preserve"> توقف</v>
      </c>
      <c r="G6" s="325"/>
    </row>
    <row r="7" spans="1:7" ht="27" customHeight="1">
      <c r="A7" s="209" t="s">
        <v>329</v>
      </c>
      <c r="B7" s="311">
        <f>'ورودي ها'!B36</f>
        <v>0</v>
      </c>
      <c r="C7" s="311"/>
      <c r="D7" s="311"/>
      <c r="E7" s="211" t="s">
        <v>330</v>
      </c>
      <c r="F7" s="311">
        <f>'ورودي ها'!B37</f>
        <v>0</v>
      </c>
      <c r="G7" s="312"/>
    </row>
    <row r="8" spans="1:7" ht="25.5" customHeight="1">
      <c r="A8" s="317" t="s">
        <v>233</v>
      </c>
      <c r="B8" s="318"/>
      <c r="C8" s="318"/>
      <c r="D8" s="318"/>
      <c r="E8" s="318"/>
      <c r="F8" s="318"/>
      <c r="G8" s="319"/>
    </row>
    <row r="9" spans="1:7" ht="17.25" customHeight="1">
      <c r="A9" s="209" t="s">
        <v>210</v>
      </c>
      <c r="B9" s="211">
        <f>'ورودي ها'!B39</f>
        <v>0</v>
      </c>
      <c r="C9" s="211" t="s">
        <v>211</v>
      </c>
      <c r="D9" s="211" t="str">
        <f>CONCATENATE('ورودي ها'!B40," ","cm")</f>
        <v xml:space="preserve"> cm</v>
      </c>
      <c r="E9" s="211" t="s">
        <v>212</v>
      </c>
      <c r="F9" s="211"/>
      <c r="G9" s="215" t="str">
        <f>CONCATENATE('ورودي ها'!B41," ","cm")</f>
        <v xml:space="preserve"> cm</v>
      </c>
    </row>
    <row r="10" spans="1:7" ht="12.75" customHeight="1">
      <c r="A10" s="209" t="s">
        <v>213</v>
      </c>
      <c r="B10" s="211">
        <f>'ورودي ها'!B42</f>
        <v>0</v>
      </c>
      <c r="C10" s="211" t="s">
        <v>214</v>
      </c>
      <c r="D10" s="211">
        <f>'ورودي ها'!B43</f>
        <v>0</v>
      </c>
      <c r="E10" s="211" t="s">
        <v>215</v>
      </c>
      <c r="F10" s="211"/>
      <c r="G10" s="215">
        <f>'ورودي ها'!B44</f>
        <v>0</v>
      </c>
    </row>
    <row r="11" spans="1:7" ht="29.25" customHeight="1">
      <c r="A11" s="326" t="s">
        <v>216</v>
      </c>
      <c r="B11" s="324"/>
      <c r="C11" s="324"/>
      <c r="D11" s="311">
        <f>'ورودي ها'!B45</f>
        <v>0</v>
      </c>
      <c r="E11" s="311"/>
      <c r="F11" s="311"/>
      <c r="G11" s="312"/>
    </row>
    <row r="12" spans="1:7" ht="24">
      <c r="A12" s="317" t="s">
        <v>232</v>
      </c>
      <c r="B12" s="318"/>
      <c r="C12" s="318"/>
      <c r="D12" s="318"/>
      <c r="E12" s="318"/>
      <c r="F12" s="318"/>
      <c r="G12" s="319"/>
    </row>
    <row r="13" spans="1:7" ht="17.25" customHeight="1">
      <c r="A13" s="216" t="s">
        <v>214</v>
      </c>
      <c r="B13" s="171">
        <f>'ورودي ها'!B47</f>
        <v>0</v>
      </c>
      <c r="C13" s="171" t="s">
        <v>215</v>
      </c>
      <c r="D13" s="171">
        <f>'ورودي ها'!B47</f>
        <v>0</v>
      </c>
      <c r="E13" s="171" t="s">
        <v>217</v>
      </c>
      <c r="F13" s="310">
        <f>'ورودي ها'!B48</f>
        <v>0</v>
      </c>
      <c r="G13" s="323"/>
    </row>
    <row r="14" spans="1:7" ht="15" customHeight="1">
      <c r="A14" s="313" t="s">
        <v>218</v>
      </c>
      <c r="B14" s="310"/>
      <c r="C14" s="314" t="str">
        <f>CONCATENATE('ورودي ها'!B49," ","m/s")</f>
        <v xml:space="preserve"> m/s</v>
      </c>
      <c r="D14" s="314"/>
      <c r="E14" s="314"/>
      <c r="F14" s="314"/>
      <c r="G14" s="315"/>
    </row>
    <row r="15" spans="1:7" ht="32.25" customHeight="1">
      <c r="A15" s="317" t="s">
        <v>231</v>
      </c>
      <c r="B15" s="318"/>
      <c r="C15" s="318"/>
      <c r="D15" s="318"/>
      <c r="E15" s="318"/>
      <c r="F15" s="318"/>
      <c r="G15" s="319"/>
    </row>
    <row r="16" spans="1:7" ht="18.75">
      <c r="A16" s="313" t="s">
        <v>214</v>
      </c>
      <c r="B16" s="310"/>
      <c r="C16" s="310"/>
      <c r="D16" s="310">
        <f>'ورودي ها'!B51</f>
        <v>0</v>
      </c>
      <c r="E16" s="310"/>
      <c r="F16" s="310"/>
      <c r="G16" s="323"/>
    </row>
    <row r="17" spans="1:12" ht="18.75">
      <c r="A17" s="216" t="s">
        <v>215</v>
      </c>
      <c r="B17" s="217">
        <f>'ورودي ها'!B51</f>
        <v>0</v>
      </c>
      <c r="C17" s="171" t="s">
        <v>224</v>
      </c>
      <c r="D17" s="171">
        <f>'ورودي ها'!B19</f>
        <v>0</v>
      </c>
      <c r="E17" s="171" t="s">
        <v>229</v>
      </c>
      <c r="F17" s="314" t="str">
        <f>CONCATENATE('ورودي ها'!B52," ","kg")</f>
        <v>0 kg</v>
      </c>
      <c r="G17" s="315"/>
      <c r="H17" s="145"/>
    </row>
    <row r="18" spans="1:12" ht="15" customHeight="1">
      <c r="A18" s="216" t="s">
        <v>226</v>
      </c>
      <c r="B18" s="218" t="str">
        <f>CONCATENATE('ورودي ها'!B53," ","m/s")</f>
        <v xml:space="preserve"> m/s</v>
      </c>
      <c r="C18" s="171" t="s">
        <v>227</v>
      </c>
      <c r="D18" s="171">
        <f>'ورودي ها'!B54</f>
        <v>0</v>
      </c>
      <c r="E18" s="310" t="s">
        <v>228</v>
      </c>
      <c r="F18" s="310"/>
      <c r="G18" s="219">
        <f>'ورودي ها'!B55</f>
        <v>0</v>
      </c>
    </row>
    <row r="19" spans="1:12" ht="36.75" customHeight="1">
      <c r="A19" s="317" t="s">
        <v>230</v>
      </c>
      <c r="B19" s="318"/>
      <c r="C19" s="318"/>
      <c r="D19" s="318"/>
      <c r="E19" s="318"/>
      <c r="F19" s="318"/>
      <c r="G19" s="319"/>
    </row>
    <row r="20" spans="1:12" ht="19.5" customHeight="1">
      <c r="A20" s="220" t="s">
        <v>238</v>
      </c>
      <c r="B20" s="320" t="s">
        <v>235</v>
      </c>
      <c r="C20" s="320"/>
      <c r="D20" s="337">
        <f>'ورودي ها'!B57</f>
        <v>0</v>
      </c>
      <c r="E20" s="337"/>
      <c r="F20" s="171" t="s">
        <v>262</v>
      </c>
      <c r="G20" s="219">
        <f>'ورودي ها'!B58</f>
        <v>0</v>
      </c>
      <c r="H20" s="77"/>
    </row>
    <row r="21" spans="1:12" ht="19.5" customHeight="1">
      <c r="A21" s="216" t="s">
        <v>259</v>
      </c>
      <c r="B21" s="172">
        <f>'ورودي ها'!B59</f>
        <v>0</v>
      </c>
      <c r="C21" s="171" t="s">
        <v>260</v>
      </c>
      <c r="D21" s="218" t="str">
        <f>CONCATENATE('ورودي ها'!B60," ","kg")</f>
        <v xml:space="preserve"> kg</v>
      </c>
      <c r="E21" s="310" t="s">
        <v>261</v>
      </c>
      <c r="F21" s="310"/>
      <c r="G21" s="219">
        <f>'ورودي ها'!B61</f>
        <v>0</v>
      </c>
    </row>
    <row r="22" spans="1:12" ht="17.25" customHeight="1">
      <c r="A22" s="220" t="s">
        <v>237</v>
      </c>
      <c r="B22" s="321" t="s">
        <v>235</v>
      </c>
      <c r="C22" s="321"/>
      <c r="D22" s="337">
        <f>'ورودي ها'!B57</f>
        <v>0</v>
      </c>
      <c r="E22" s="337"/>
      <c r="F22" s="171" t="s">
        <v>262</v>
      </c>
      <c r="G22" s="219">
        <f>'ورودي ها'!B58</f>
        <v>0</v>
      </c>
    </row>
    <row r="23" spans="1:12" ht="17.25" customHeight="1">
      <c r="A23" s="216" t="s">
        <v>259</v>
      </c>
      <c r="B23" s="172">
        <f>'ورودي ها'!B59</f>
        <v>0</v>
      </c>
      <c r="C23" s="171" t="s">
        <v>260</v>
      </c>
      <c r="D23" s="218" t="str">
        <f>CONCATENATE('ورودي ها'!B60," ","kg")</f>
        <v xml:space="preserve"> kg</v>
      </c>
      <c r="E23" s="310"/>
      <c r="F23" s="310"/>
      <c r="G23" s="219"/>
    </row>
    <row r="24" spans="1:12" ht="17.25" customHeight="1">
      <c r="A24" s="221" t="s">
        <v>261</v>
      </c>
      <c r="B24" s="327">
        <f>'ورودي ها'!B63</f>
        <v>0</v>
      </c>
      <c r="C24" s="327"/>
      <c r="D24" s="327"/>
      <c r="E24" s="327"/>
      <c r="F24" s="327"/>
      <c r="G24" s="336"/>
    </row>
    <row r="25" spans="1:12" ht="29.25" customHeight="1">
      <c r="A25" s="317" t="s">
        <v>239</v>
      </c>
      <c r="B25" s="318"/>
      <c r="C25" s="318"/>
      <c r="D25" s="318"/>
      <c r="E25" s="318"/>
      <c r="F25" s="318"/>
      <c r="G25" s="319"/>
    </row>
    <row r="26" spans="1:12" ht="18.75">
      <c r="A26" s="313" t="s">
        <v>240</v>
      </c>
      <c r="B26" s="310"/>
      <c r="C26" s="171">
        <f>'ورودي ها'!B65</f>
        <v>0</v>
      </c>
      <c r="D26" s="261" t="s">
        <v>217</v>
      </c>
      <c r="E26" s="171">
        <f>'ورودي ها'!B66</f>
        <v>0</v>
      </c>
      <c r="F26" s="171" t="s">
        <v>241</v>
      </c>
      <c r="G26" s="219">
        <f>'ورودي ها'!B67</f>
        <v>0</v>
      </c>
    </row>
    <row r="27" spans="1:12" ht="18.75">
      <c r="A27" s="216" t="s">
        <v>215</v>
      </c>
      <c r="B27" s="327">
        <f>'ورودي ها'!B6</f>
        <v>0</v>
      </c>
      <c r="C27" s="327"/>
      <c r="D27" s="338" t="s">
        <v>242</v>
      </c>
      <c r="E27" s="338"/>
      <c r="F27" s="337" t="str">
        <f>CONCATENATE('ورودي ها'!B68)</f>
        <v/>
      </c>
      <c r="G27" s="339"/>
    </row>
    <row r="28" spans="1:12" ht="18.75">
      <c r="A28" s="216" t="s">
        <v>243</v>
      </c>
      <c r="B28" s="218" t="str">
        <f>CONCATENATE('ورودي ها'!B8," ","kw")</f>
        <v xml:space="preserve"> kw</v>
      </c>
      <c r="C28" s="171" t="s">
        <v>244</v>
      </c>
      <c r="D28" s="218" t="str">
        <f>CONCATENATE('ورودي ها'!B69," ","V")</f>
        <v xml:space="preserve"> V</v>
      </c>
      <c r="E28" s="171" t="s">
        <v>245</v>
      </c>
      <c r="F28" s="328" t="str">
        <f>CONCATENATE('ورودي ها'!B70," ","A")</f>
        <v xml:space="preserve"> A</v>
      </c>
      <c r="G28" s="329"/>
    </row>
    <row r="29" spans="1:12" ht="18.75">
      <c r="A29" s="220" t="s">
        <v>220</v>
      </c>
      <c r="B29" s="314" t="str">
        <f>CONCATENATE('ورودي ها'!B71," ","rpm")</f>
        <v xml:space="preserve"> rpm</v>
      </c>
      <c r="C29" s="314"/>
      <c r="D29" s="321" t="s">
        <v>246</v>
      </c>
      <c r="E29" s="321"/>
      <c r="F29" s="314" t="str">
        <f>CONCATENATE('ورودي ها'!B72," ","rpm")</f>
        <v xml:space="preserve"> rpm</v>
      </c>
      <c r="G29" s="315"/>
      <c r="H29" s="141"/>
    </row>
    <row r="30" spans="1:12" ht="21.75" customHeight="1">
      <c r="A30" s="330" t="s">
        <v>247</v>
      </c>
      <c r="B30" s="331"/>
      <c r="C30" s="170" t="str">
        <f>CONCATENATE('ورودي ها'!B73)</f>
        <v/>
      </c>
      <c r="D30" s="309" t="s">
        <v>263</v>
      </c>
      <c r="E30" s="309"/>
      <c r="F30" s="309"/>
      <c r="G30" s="224" t="str">
        <f>CONCATENATE('ورودي ها'!B74)</f>
        <v/>
      </c>
    </row>
    <row r="31" spans="1:12" ht="33.75" customHeight="1">
      <c r="A31" s="330" t="s">
        <v>249</v>
      </c>
      <c r="B31" s="331"/>
      <c r="C31" s="331"/>
      <c r="D31" s="223" t="str">
        <f>CONCATENATE('ورودي ها'!B75)</f>
        <v/>
      </c>
      <c r="E31" s="171" t="s">
        <v>250</v>
      </c>
      <c r="F31" s="170" t="str">
        <f>CONCATENATE('ورودي ها'!B76)</f>
        <v/>
      </c>
      <c r="G31" s="222"/>
      <c r="L31" s="146"/>
    </row>
    <row r="32" spans="1:12" ht="28.5" customHeight="1">
      <c r="A32" s="317" t="s">
        <v>251</v>
      </c>
      <c r="B32" s="318"/>
      <c r="C32" s="318"/>
      <c r="D32" s="318"/>
      <c r="E32" s="318"/>
      <c r="F32" s="318"/>
      <c r="G32" s="319"/>
    </row>
    <row r="33" spans="1:7" ht="15.75" customHeight="1">
      <c r="A33" s="313" t="s">
        <v>252</v>
      </c>
      <c r="B33" s="310"/>
      <c r="C33" s="310"/>
      <c r="D33" s="171" t="s">
        <v>253</v>
      </c>
      <c r="E33" s="314" t="str">
        <f>CONCATENATE('ورودي ها'!B79," ","cm")</f>
        <v xml:space="preserve"> cm</v>
      </c>
      <c r="F33" s="314"/>
      <c r="G33" s="315"/>
    </row>
    <row r="34" spans="1:7" ht="19.5" customHeight="1">
      <c r="A34" s="216" t="s">
        <v>254</v>
      </c>
      <c r="B34" s="218" t="str">
        <f>CONCATENATE('ورودي ها'!B80," ","cm")</f>
        <v xml:space="preserve"> cm</v>
      </c>
      <c r="C34" s="250" t="s">
        <v>255</v>
      </c>
      <c r="D34" s="218" t="str">
        <f>CONCATENATE('ورودي ها'!B81," ","cm")</f>
        <v xml:space="preserve"> cm</v>
      </c>
      <c r="E34" s="322" t="s">
        <v>258</v>
      </c>
      <c r="F34" s="322"/>
      <c r="G34" s="225" t="str">
        <f>CONCATENATE('ورودي ها'!B4," ","kg")</f>
        <v xml:space="preserve"> kg</v>
      </c>
    </row>
    <row r="35" spans="1:7" ht="29.25" customHeight="1" thickBot="1">
      <c r="A35" s="226" t="s">
        <v>331</v>
      </c>
      <c r="B35" s="227" t="str">
        <f>CONCATENATE('ورودي ها'!B82)</f>
        <v/>
      </c>
      <c r="C35" s="257" t="s">
        <v>264</v>
      </c>
      <c r="D35" s="228" t="str">
        <f>CONCATENATE('ورودي ها'!B40," ","cm")</f>
        <v xml:space="preserve"> cm</v>
      </c>
      <c r="E35" s="316" t="s">
        <v>257</v>
      </c>
      <c r="F35" s="316"/>
      <c r="G35" s="229" t="str">
        <f>CONCATENATE('ورودي ها'!B41," ","cm")</f>
        <v xml:space="preserve"> cm</v>
      </c>
    </row>
    <row r="36" spans="1:7" ht="15.75" customHeight="1">
      <c r="A36" s="305" t="str">
        <f>CONCATENATE("شرکت بازرسی:","  ",'ورودي ها'!B134," ")</f>
        <v xml:space="preserve">شرکت بازرسی:   </v>
      </c>
      <c r="B36" s="306"/>
      <c r="C36" s="343" t="s">
        <v>268</v>
      </c>
      <c r="D36" s="344"/>
      <c r="E36" s="344"/>
      <c r="F36" s="162" t="s">
        <v>265</v>
      </c>
      <c r="G36" s="163">
        <f>'ورودي ها'!B1</f>
        <v>0</v>
      </c>
    </row>
    <row r="37" spans="1:7" ht="21.75" customHeight="1">
      <c r="A37" s="307"/>
      <c r="B37" s="308"/>
      <c r="C37" s="345"/>
      <c r="D37" s="346"/>
      <c r="E37" s="346"/>
      <c r="F37" s="164" t="s">
        <v>266</v>
      </c>
      <c r="G37" s="165"/>
    </row>
    <row r="38" spans="1:7" ht="21.75" customHeight="1" thickBot="1">
      <c r="A38" s="349"/>
      <c r="B38" s="350"/>
      <c r="C38" s="347"/>
      <c r="D38" s="348"/>
      <c r="E38" s="348"/>
      <c r="F38" s="166" t="s">
        <v>267</v>
      </c>
      <c r="G38" s="167"/>
    </row>
    <row r="39" spans="1:7" ht="22.5" customHeight="1">
      <c r="A39" s="317" t="s">
        <v>272</v>
      </c>
      <c r="B39" s="318"/>
      <c r="C39" s="318"/>
      <c r="D39" s="318"/>
      <c r="E39" s="318"/>
      <c r="F39" s="318"/>
      <c r="G39" s="319"/>
    </row>
    <row r="40" spans="1:7" ht="17.25" customHeight="1">
      <c r="A40" s="220" t="s">
        <v>273</v>
      </c>
      <c r="B40" s="338" t="str">
        <f>CONCATENATE('ورودي ها'!B84)</f>
        <v/>
      </c>
      <c r="C40" s="338"/>
      <c r="D40" s="258" t="s">
        <v>259</v>
      </c>
      <c r="E40" s="259" t="str">
        <f>CONCATENATE('ورودي ها'!B14," ","رشته")</f>
        <v xml:space="preserve"> رشته</v>
      </c>
      <c r="F40" s="254" t="s">
        <v>269</v>
      </c>
      <c r="G40" s="247" t="str">
        <f>CONCATENATE('ورودي ها'!B85," ","mm")</f>
        <v>0 mm</v>
      </c>
    </row>
    <row r="41" spans="1:7" ht="18.75">
      <c r="A41" s="220" t="s">
        <v>274</v>
      </c>
      <c r="B41" s="338" t="str">
        <f>CONCATENATE('ورودي ها'!B86)</f>
        <v/>
      </c>
      <c r="C41" s="338"/>
      <c r="D41" s="254" t="s">
        <v>270</v>
      </c>
      <c r="E41" s="314" t="str">
        <f>CONCATENATE('ورودي ها'!B87," ","gr/m")</f>
        <v xml:space="preserve"> gr/m</v>
      </c>
      <c r="F41" s="314"/>
      <c r="G41" s="315"/>
    </row>
    <row r="42" spans="1:7" s="237" customFormat="1" ht="28.5" customHeight="1">
      <c r="A42" s="317" t="s">
        <v>275</v>
      </c>
      <c r="B42" s="318"/>
      <c r="C42" s="318"/>
      <c r="D42" s="318"/>
      <c r="E42" s="318"/>
      <c r="F42" s="318"/>
      <c r="G42" s="319"/>
    </row>
    <row r="43" spans="1:7" ht="18.75" customHeight="1">
      <c r="A43" s="351" t="s">
        <v>276</v>
      </c>
      <c r="B43" s="352"/>
      <c r="C43" s="352"/>
      <c r="D43" s="352"/>
      <c r="E43" s="352"/>
      <c r="F43" s="352"/>
      <c r="G43" s="353"/>
    </row>
    <row r="44" spans="1:7" ht="18.75">
      <c r="A44" s="216" t="s">
        <v>277</v>
      </c>
      <c r="B44" s="171" t="str">
        <f>CONCATENATE('ورودي ها'!B90)</f>
        <v>چدن</v>
      </c>
      <c r="C44" s="250" t="s">
        <v>269</v>
      </c>
      <c r="D44" s="314" t="str">
        <f>CONCATENATE('ورودي ها'!B9," ","cm")</f>
        <v xml:space="preserve"> cm</v>
      </c>
      <c r="E44" s="314"/>
      <c r="F44" s="314"/>
      <c r="G44" s="315"/>
    </row>
    <row r="45" spans="1:7" ht="18.75">
      <c r="A45" s="220" t="s">
        <v>279</v>
      </c>
      <c r="B45" s="171" t="str">
        <f>CONCATENATE('ورودي ها'!B91)</f>
        <v/>
      </c>
      <c r="C45" s="238" t="s">
        <v>278</v>
      </c>
      <c r="D45" s="172"/>
      <c r="E45" s="310"/>
      <c r="F45" s="310"/>
      <c r="G45" s="323"/>
    </row>
    <row r="46" spans="1:7" ht="18.75">
      <c r="A46" s="220" t="s">
        <v>280</v>
      </c>
      <c r="B46" s="172"/>
      <c r="C46" s="171"/>
      <c r="D46" s="172"/>
      <c r="E46" s="310"/>
      <c r="F46" s="310"/>
      <c r="G46" s="323"/>
    </row>
    <row r="47" spans="1:7" ht="18.75">
      <c r="A47" s="252" t="e">
        <f>CONCATENATE('ورودي ها'!B13," ","°")</f>
        <v>#DIV/0!</v>
      </c>
      <c r="B47" s="321" t="s">
        <v>281</v>
      </c>
      <c r="C47" s="321"/>
      <c r="D47" s="253" t="str">
        <f>CONCATENATE('ورودي ها'!B92," ","°")</f>
        <v xml:space="preserve"> °</v>
      </c>
      <c r="E47" s="218" t="s">
        <v>282</v>
      </c>
      <c r="F47" s="253" t="str">
        <f>CONCATENATE('ورودي ها'!B93," ","°")</f>
        <v xml:space="preserve"> °</v>
      </c>
      <c r="G47" s="225" t="s">
        <v>283</v>
      </c>
    </row>
    <row r="48" spans="1:7" ht="15.75" customHeight="1">
      <c r="A48" s="351" t="s">
        <v>284</v>
      </c>
      <c r="B48" s="352"/>
      <c r="C48" s="352"/>
      <c r="D48" s="352"/>
      <c r="E48" s="352"/>
      <c r="F48" s="352"/>
      <c r="G48" s="353"/>
    </row>
    <row r="49" spans="1:9" ht="12.75" customHeight="1">
      <c r="A49" s="220" t="s">
        <v>285</v>
      </c>
      <c r="B49" s="171" t="str">
        <f>CONCATENATE('ورودي ها'!B95)</f>
        <v/>
      </c>
      <c r="C49" s="250" t="s">
        <v>269</v>
      </c>
      <c r="D49" s="218" t="str">
        <f>CONCATENATE('ورودي ها'!B96," ","cm")</f>
        <v>0 cm</v>
      </c>
      <c r="E49" s="250" t="s">
        <v>259</v>
      </c>
      <c r="F49" s="310" t="str">
        <f>CONCATENATE('ورودي ها'!B97)</f>
        <v>1</v>
      </c>
      <c r="G49" s="323"/>
    </row>
    <row r="50" spans="1:9" ht="17.25" customHeight="1">
      <c r="A50" s="355" t="s">
        <v>286</v>
      </c>
      <c r="B50" s="321"/>
      <c r="C50" s="321"/>
      <c r="D50" s="310" t="str">
        <f>CONCATENATE('ورودي ها'!B98)</f>
        <v/>
      </c>
      <c r="E50" s="310"/>
      <c r="F50" s="310"/>
      <c r="G50" s="323"/>
    </row>
    <row r="51" spans="1:9" ht="27.75" customHeight="1">
      <c r="A51" s="317" t="s">
        <v>291</v>
      </c>
      <c r="B51" s="318"/>
      <c r="C51" s="318"/>
      <c r="D51" s="318"/>
      <c r="E51" s="318"/>
      <c r="F51" s="318"/>
      <c r="G51" s="319"/>
    </row>
    <row r="52" spans="1:9" ht="17.25" customHeight="1">
      <c r="A52" s="355" t="s">
        <v>292</v>
      </c>
      <c r="B52" s="321"/>
      <c r="C52" s="172" t="str">
        <f>CONCATENATE('ورودي ها'!B100," ","cm")</f>
        <v xml:space="preserve"> cm</v>
      </c>
      <c r="D52" s="356" t="s">
        <v>293</v>
      </c>
      <c r="E52" s="356"/>
      <c r="F52" s="310" t="str">
        <f>CONCATENATE('ورودي ها'!B101)</f>
        <v/>
      </c>
      <c r="G52" s="323"/>
      <c r="H52" s="141"/>
    </row>
    <row r="53" spans="1:9" ht="18.75">
      <c r="A53" s="220" t="s">
        <v>294</v>
      </c>
      <c r="B53" s="172" t="str">
        <f>CONCATENATE('ورودي ها'!B102)</f>
        <v/>
      </c>
      <c r="C53" s="250" t="s">
        <v>295</v>
      </c>
      <c r="D53" s="310" t="str">
        <f>CONCATENATE('ورودي ها'!B103)</f>
        <v/>
      </c>
      <c r="E53" s="310"/>
      <c r="F53" s="310"/>
      <c r="G53" s="323"/>
    </row>
    <row r="54" spans="1:9" ht="16.5" customHeight="1">
      <c r="A54" s="220" t="s">
        <v>289</v>
      </c>
      <c r="B54" s="172" t="e">
        <f>CONCATENATE('ورودي ها'!B104," ","kg")</f>
        <v>#DIV/0!</v>
      </c>
      <c r="C54" s="356" t="s">
        <v>290</v>
      </c>
      <c r="D54" s="356"/>
      <c r="E54" s="321" t="str">
        <f>CONCATENATE('ورودي ها'!B105," ","kg")</f>
        <v xml:space="preserve"> kg</v>
      </c>
      <c r="F54" s="321"/>
      <c r="G54" s="354"/>
    </row>
    <row r="55" spans="1:9" ht="15.75" customHeight="1">
      <c r="A55" s="239" t="s">
        <v>296</v>
      </c>
      <c r="B55" s="321" t="str">
        <f>CONCATENATE('ورودي ها'!B106," ","kg")</f>
        <v>0 kg</v>
      </c>
      <c r="C55" s="321"/>
      <c r="D55" s="321"/>
      <c r="E55" s="321"/>
      <c r="F55" s="321"/>
      <c r="G55" s="354"/>
    </row>
    <row r="56" spans="1:9" ht="26.25" customHeight="1">
      <c r="A56" s="317" t="s">
        <v>298</v>
      </c>
      <c r="B56" s="318"/>
      <c r="C56" s="318"/>
      <c r="D56" s="318"/>
      <c r="E56" s="318"/>
      <c r="F56" s="318"/>
      <c r="G56" s="319"/>
    </row>
    <row r="57" spans="1:9" ht="18.75">
      <c r="A57" s="239" t="s">
        <v>273</v>
      </c>
      <c r="B57" s="337" t="str">
        <f>CONCATENATE('ورودي ها'!B108)</f>
        <v/>
      </c>
      <c r="C57" s="337"/>
      <c r="D57" s="322" t="s">
        <v>299</v>
      </c>
      <c r="E57" s="322"/>
      <c r="F57" s="338" t="str">
        <f>CONCATENATE('ورودي ها'!B109)</f>
        <v/>
      </c>
      <c r="G57" s="360"/>
    </row>
    <row r="58" spans="1:9" ht="18.75">
      <c r="A58" s="240" t="s">
        <v>301</v>
      </c>
      <c r="B58" s="238" t="str">
        <f>IF(F58="T5",CONCATENATE('ورودي ها'!K2),IF(F58="T9",CONCATENATE('ورودي ها'!K3),CONCATENATE('ورودي ها'!K4)))</f>
        <v>70</v>
      </c>
      <c r="C58" s="207" t="s">
        <v>288</v>
      </c>
      <c r="D58" s="172" t="str">
        <f>IF(F58="T5",CONCATENATE('ورودي ها'!L2),IF(F58="T9",CONCATENATE('ورودي ها'!L3),CONCATENATE('ورودي ها'!L4)))</f>
        <v>70</v>
      </c>
      <c r="E58" s="255" t="s">
        <v>300</v>
      </c>
      <c r="F58" s="321">
        <f>'ورودي ها'!B18</f>
        <v>0</v>
      </c>
      <c r="G58" s="354"/>
    </row>
    <row r="59" spans="1:9" ht="18.75">
      <c r="A59" s="240" t="s">
        <v>302</v>
      </c>
      <c r="B59" s="238">
        <f>IF(F59="T5",'ورودي ها'!O2,'ورودي ها'!O3)</f>
        <v>70</v>
      </c>
      <c r="C59" s="207" t="s">
        <v>288</v>
      </c>
      <c r="D59" s="172" t="str">
        <f>IF(F59="T5",CONCATENATE('ورودي ها'!P2),CONCATENATE('ورودي ها'!P3))</f>
        <v>65</v>
      </c>
      <c r="E59" s="255" t="s">
        <v>300</v>
      </c>
      <c r="F59" s="321">
        <f>'ورودي ها'!B112</f>
        <v>0</v>
      </c>
      <c r="G59" s="354"/>
    </row>
    <row r="60" spans="1:9" ht="18.75">
      <c r="A60" s="355" t="s">
        <v>303</v>
      </c>
      <c r="B60" s="321"/>
      <c r="C60" s="321"/>
      <c r="D60" s="241" t="str">
        <f>CONCATENATE('ورودي ها'!B5," ","cm")</f>
        <v xml:space="preserve"> cm</v>
      </c>
      <c r="E60" s="256" t="s">
        <v>287</v>
      </c>
      <c r="F60" s="361" t="str">
        <f>CONCATENATE('ورودي ها'!B114," ","cm")</f>
        <v>0 cm</v>
      </c>
      <c r="G60" s="362"/>
      <c r="I60" s="193"/>
    </row>
    <row r="61" spans="1:9" ht="24.75" customHeight="1">
      <c r="A61" s="317" t="s">
        <v>312</v>
      </c>
      <c r="B61" s="318"/>
      <c r="C61" s="318"/>
      <c r="D61" s="318"/>
      <c r="E61" s="318"/>
      <c r="F61" s="318"/>
      <c r="G61" s="319"/>
    </row>
    <row r="62" spans="1:9" ht="18.75">
      <c r="A62" s="220" t="s">
        <v>360</v>
      </c>
      <c r="B62" s="310" t="str">
        <f>CONCATENATE('ورودي ها'!B117)</f>
        <v/>
      </c>
      <c r="C62" s="310"/>
      <c r="D62" s="310"/>
      <c r="E62" s="242" t="s">
        <v>306</v>
      </c>
      <c r="F62" s="310" t="str">
        <f>CONCATENATE('ورودي ها'!B118)</f>
        <v/>
      </c>
      <c r="G62" s="323"/>
    </row>
    <row r="63" spans="1:9" ht="18.75">
      <c r="A63" s="220" t="s">
        <v>307</v>
      </c>
      <c r="B63" s="171" t="str">
        <f>CONCATENATE('ورودي ها'!B119)</f>
        <v/>
      </c>
      <c r="C63" s="250" t="s">
        <v>308</v>
      </c>
      <c r="D63" s="171" t="str">
        <f>CONCATENATE('ورودي ها'!B120)</f>
        <v/>
      </c>
      <c r="E63" s="242" t="s">
        <v>309</v>
      </c>
      <c r="F63" s="310" t="str">
        <f>CONCATENATE('ورودي ها'!B121)</f>
        <v/>
      </c>
      <c r="G63" s="323"/>
    </row>
    <row r="64" spans="1:9" ht="17.25" customHeight="1">
      <c r="A64" s="220" t="s">
        <v>310</v>
      </c>
      <c r="B64" s="171" t="s">
        <v>304</v>
      </c>
      <c r="C64" s="327" t="str">
        <f>CONCATENATE('ورودي ها'!B117)</f>
        <v/>
      </c>
      <c r="D64" s="327"/>
      <c r="E64" s="242" t="s">
        <v>306</v>
      </c>
      <c r="F64" s="310" t="str">
        <f>CONCATENATE('ورودي ها'!B118)</f>
        <v/>
      </c>
      <c r="G64" s="323"/>
    </row>
    <row r="65" spans="1:8" ht="18.75">
      <c r="A65" s="220" t="s">
        <v>307</v>
      </c>
      <c r="B65" s="171" t="str">
        <f>CONCATENATE('ورودي ها'!B123)</f>
        <v/>
      </c>
      <c r="C65" s="250" t="s">
        <v>308</v>
      </c>
      <c r="D65" s="171" t="str">
        <f>CONCATENATE('ورودي ها'!B120)</f>
        <v/>
      </c>
      <c r="E65" s="242" t="s">
        <v>309</v>
      </c>
      <c r="F65" s="310" t="str">
        <f>CONCATENATE('ورودي ها'!B124)</f>
        <v/>
      </c>
      <c r="G65" s="323"/>
    </row>
    <row r="66" spans="1:8" ht="27" customHeight="1">
      <c r="A66" s="317" t="s">
        <v>311</v>
      </c>
      <c r="B66" s="318"/>
      <c r="C66" s="318"/>
      <c r="D66" s="318"/>
      <c r="E66" s="318"/>
      <c r="F66" s="318"/>
      <c r="G66" s="319"/>
    </row>
    <row r="67" spans="1:8" ht="16.5" customHeight="1">
      <c r="A67" s="239" t="s">
        <v>313</v>
      </c>
      <c r="B67" s="310"/>
      <c r="C67" s="310"/>
      <c r="D67" s="244"/>
      <c r="E67" s="244"/>
      <c r="F67" s="230"/>
      <c r="G67" s="231"/>
    </row>
    <row r="68" spans="1:8" ht="15" customHeight="1">
      <c r="A68" s="239" t="s">
        <v>314</v>
      </c>
      <c r="B68" s="310"/>
      <c r="C68" s="310"/>
      <c r="D68" s="244"/>
      <c r="E68" s="244"/>
      <c r="F68" s="230"/>
      <c r="G68" s="231"/>
    </row>
    <row r="69" spans="1:8" ht="24.75" customHeight="1">
      <c r="A69" s="317" t="s">
        <v>315</v>
      </c>
      <c r="B69" s="318"/>
      <c r="C69" s="318"/>
      <c r="D69" s="318"/>
      <c r="E69" s="318"/>
      <c r="F69" s="318"/>
      <c r="G69" s="319"/>
    </row>
    <row r="70" spans="1:8" ht="14.25" customHeight="1">
      <c r="A70" s="243" t="s">
        <v>273</v>
      </c>
      <c r="B70" s="244" t="str">
        <f>CONCATENATE('ورودي ها'!B129)</f>
        <v/>
      </c>
      <c r="C70" s="250" t="s">
        <v>317</v>
      </c>
      <c r="D70" s="244" t="str">
        <f>CONCATENATE('ورودي ها'!B130)</f>
        <v/>
      </c>
      <c r="E70" s="322" t="s">
        <v>316</v>
      </c>
      <c r="F70" s="322"/>
      <c r="G70" s="245" t="str">
        <f>CONCATENATE('ورودي ها'!B131)</f>
        <v/>
      </c>
    </row>
    <row r="71" spans="1:8" ht="15.75" customHeight="1">
      <c r="A71" s="249"/>
      <c r="B71" s="246"/>
      <c r="C71" s="251"/>
      <c r="D71" s="246"/>
      <c r="E71" s="251"/>
      <c r="F71" s="251"/>
      <c r="G71" s="248"/>
    </row>
    <row r="72" spans="1:8" ht="21" customHeight="1">
      <c r="A72" s="232"/>
      <c r="B72" s="148"/>
      <c r="C72" s="148"/>
      <c r="D72" s="148"/>
      <c r="E72" s="359" t="s">
        <v>318</v>
      </c>
      <c r="F72" s="359"/>
      <c r="G72" s="233"/>
    </row>
    <row r="73" spans="1:8" ht="17.25" customHeight="1">
      <c r="A73" s="232"/>
      <c r="B73" s="148"/>
      <c r="C73" s="148"/>
      <c r="D73" s="148"/>
      <c r="E73" s="358" t="s">
        <v>319</v>
      </c>
      <c r="F73" s="358"/>
      <c r="G73" s="233"/>
    </row>
    <row r="74" spans="1:8" ht="16.5" thickBot="1">
      <c r="A74" s="234"/>
      <c r="B74" s="235"/>
      <c r="C74" s="235"/>
      <c r="D74" s="235"/>
      <c r="E74" s="357" t="s">
        <v>320</v>
      </c>
      <c r="F74" s="357"/>
      <c r="G74" s="236"/>
      <c r="H74" s="200"/>
    </row>
    <row r="75" spans="1:8" ht="15">
      <c r="A75" s="144"/>
    </row>
    <row r="76" spans="1:8" ht="15">
      <c r="A76" s="144"/>
    </row>
    <row r="77" spans="1:8" ht="15.75">
      <c r="A77" s="143"/>
    </row>
    <row r="78" spans="1:8" ht="15">
      <c r="A78" s="144"/>
    </row>
    <row r="79" spans="1:8" ht="15">
      <c r="A79" s="144"/>
    </row>
    <row r="80" spans="1:8" ht="18.75">
      <c r="A80" s="142"/>
    </row>
    <row r="81" spans="1:1" ht="15.75">
      <c r="A81" s="143"/>
    </row>
    <row r="82" spans="1:1" ht="15">
      <c r="A82" s="144"/>
    </row>
    <row r="83" spans="1:1" ht="15">
      <c r="A83" s="144"/>
    </row>
    <row r="84" spans="1:1" ht="15.75">
      <c r="A84" s="143"/>
    </row>
    <row r="85" spans="1:1" ht="15">
      <c r="A85" s="144"/>
    </row>
  </sheetData>
  <mergeCells count="90">
    <mergeCell ref="A60:C60"/>
    <mergeCell ref="B57:C57"/>
    <mergeCell ref="F57:G57"/>
    <mergeCell ref="F58:G58"/>
    <mergeCell ref="F59:G59"/>
    <mergeCell ref="F60:G60"/>
    <mergeCell ref="D57:E57"/>
    <mergeCell ref="F65:G65"/>
    <mergeCell ref="A66:G66"/>
    <mergeCell ref="A61:G61"/>
    <mergeCell ref="F62:G62"/>
    <mergeCell ref="F63:G63"/>
    <mergeCell ref="F64:G64"/>
    <mergeCell ref="C64:D64"/>
    <mergeCell ref="B62:D62"/>
    <mergeCell ref="E74:F74"/>
    <mergeCell ref="A69:G69"/>
    <mergeCell ref="E70:F70"/>
    <mergeCell ref="E73:F73"/>
    <mergeCell ref="E72:F72"/>
    <mergeCell ref="B55:G55"/>
    <mergeCell ref="A56:G56"/>
    <mergeCell ref="A48:G48"/>
    <mergeCell ref="A50:C50"/>
    <mergeCell ref="D50:G50"/>
    <mergeCell ref="F49:G49"/>
    <mergeCell ref="A51:G51"/>
    <mergeCell ref="A52:B52"/>
    <mergeCell ref="D52:E52"/>
    <mergeCell ref="F52:G52"/>
    <mergeCell ref="E54:G54"/>
    <mergeCell ref="C54:D54"/>
    <mergeCell ref="D53:G53"/>
    <mergeCell ref="B47:C47"/>
    <mergeCell ref="A42:G42"/>
    <mergeCell ref="A43:G43"/>
    <mergeCell ref="E45:G45"/>
    <mergeCell ref="E46:G46"/>
    <mergeCell ref="D44:G44"/>
    <mergeCell ref="B29:C29"/>
    <mergeCell ref="A31:C31"/>
    <mergeCell ref="A39:G39"/>
    <mergeCell ref="E41:G41"/>
    <mergeCell ref="B40:C40"/>
    <mergeCell ref="B41:C41"/>
    <mergeCell ref="C36:E38"/>
    <mergeCell ref="A33:C33"/>
    <mergeCell ref="A32:G32"/>
    <mergeCell ref="A36:B38"/>
    <mergeCell ref="B27:C27"/>
    <mergeCell ref="F28:G28"/>
    <mergeCell ref="A30:B30"/>
    <mergeCell ref="A25:G25"/>
    <mergeCell ref="C1:E3"/>
    <mergeCell ref="A26:B26"/>
    <mergeCell ref="B24:G24"/>
    <mergeCell ref="D20:E20"/>
    <mergeCell ref="E21:F21"/>
    <mergeCell ref="D22:E22"/>
    <mergeCell ref="E23:F23"/>
    <mergeCell ref="D27:E27"/>
    <mergeCell ref="F27:G27"/>
    <mergeCell ref="A4:G4"/>
    <mergeCell ref="F29:G29"/>
    <mergeCell ref="D29:E29"/>
    <mergeCell ref="A16:C16"/>
    <mergeCell ref="F17:G17"/>
    <mergeCell ref="F6:G6"/>
    <mergeCell ref="A12:G12"/>
    <mergeCell ref="F13:G13"/>
    <mergeCell ref="A8:G8"/>
    <mergeCell ref="B7:D7"/>
    <mergeCell ref="F7:G7"/>
    <mergeCell ref="A11:C11"/>
    <mergeCell ref="A1:B3"/>
    <mergeCell ref="D30:F30"/>
    <mergeCell ref="B68:C68"/>
    <mergeCell ref="D11:G11"/>
    <mergeCell ref="A14:B14"/>
    <mergeCell ref="C14:G14"/>
    <mergeCell ref="E35:F35"/>
    <mergeCell ref="B67:C67"/>
    <mergeCell ref="E18:F18"/>
    <mergeCell ref="A15:G15"/>
    <mergeCell ref="A19:G19"/>
    <mergeCell ref="B20:C20"/>
    <mergeCell ref="B22:C22"/>
    <mergeCell ref="E33:G33"/>
    <mergeCell ref="E34:F34"/>
    <mergeCell ref="D16:G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69" r:id="rId4" name="Group Box 25">
              <controlPr defaultSize="0" autoFill="0" autoPict="0">
                <anchor moveWithCells="1">
                  <from>
                    <xdr:col>3</xdr:col>
                    <xdr:colOff>104775</xdr:colOff>
                    <xdr:row>44</xdr:row>
                    <xdr:rowOff>0</xdr:rowOff>
                  </from>
                  <to>
                    <xdr:col>6</xdr:col>
                    <xdr:colOff>800100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5" name="Option Button 26">
              <controlPr defaultSize="0" autoFill="0" autoLine="0" autoPict="0">
                <anchor moveWithCells="1">
                  <from>
                    <xdr:col>4</xdr:col>
                    <xdr:colOff>238125</xdr:colOff>
                    <xdr:row>44</xdr:row>
                    <xdr:rowOff>19050</xdr:rowOff>
                  </from>
                  <to>
                    <xdr:col>5</xdr:col>
                    <xdr:colOff>200025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6" name="Option Button 27">
              <controlPr defaultSize="0" autoFill="0" autoLine="0" autoPict="0">
                <anchor moveWithCells="1">
                  <from>
                    <xdr:col>5</xdr:col>
                    <xdr:colOff>361950</xdr:colOff>
                    <xdr:row>44</xdr:row>
                    <xdr:rowOff>19050</xdr:rowOff>
                  </from>
                  <to>
                    <xdr:col>6</xdr:col>
                    <xdr:colOff>666750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7" name="Group Box 28">
              <controlPr defaultSize="0" autoFill="0" autoPict="0">
                <anchor moveWithCells="1">
                  <from>
                    <xdr:col>0</xdr:col>
                    <xdr:colOff>1304925</xdr:colOff>
                    <xdr:row>45</xdr:row>
                    <xdr:rowOff>19050</xdr:rowOff>
                  </from>
                  <to>
                    <xdr:col>4</xdr:col>
                    <xdr:colOff>790575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8" name="Option Button 29">
              <controlPr defaultSize="0" autoFill="0" autoLine="0" autoPict="0">
                <anchor moveWithCells="1">
                  <from>
                    <xdr:col>1</xdr:col>
                    <xdr:colOff>342900</xdr:colOff>
                    <xdr:row>45</xdr:row>
                    <xdr:rowOff>28575</xdr:rowOff>
                  </from>
                  <to>
                    <xdr:col>3</xdr:col>
                    <xdr:colOff>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9" name="Option Button 30">
              <controlPr defaultSize="0" autoFill="0" autoLine="0" autoPict="0">
                <anchor moveWithCells="1">
                  <from>
                    <xdr:col>3</xdr:col>
                    <xdr:colOff>114300</xdr:colOff>
                    <xdr:row>45</xdr:row>
                    <xdr:rowOff>28575</xdr:rowOff>
                  </from>
                  <to>
                    <xdr:col>4</xdr:col>
                    <xdr:colOff>619125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10" name="Group Box 31">
              <controlPr defaultSize="0" autoFill="0" autoPict="0">
                <anchor moveWithCells="1">
                  <from>
                    <xdr:col>2</xdr:col>
                    <xdr:colOff>180975</xdr:colOff>
                    <xdr:row>66</xdr:row>
                    <xdr:rowOff>9525</xdr:rowOff>
                  </from>
                  <to>
                    <xdr:col>6</xdr:col>
                    <xdr:colOff>476250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11" name="Option Button 32">
              <controlPr defaultSize="0" autoFill="0" autoLine="0" autoPict="0">
                <anchor moveWithCells="1">
                  <from>
                    <xdr:col>2</xdr:col>
                    <xdr:colOff>352425</xdr:colOff>
                    <xdr:row>66</xdr:row>
                    <xdr:rowOff>19050</xdr:rowOff>
                  </from>
                  <to>
                    <xdr:col>3</xdr:col>
                    <xdr:colOff>323850</xdr:colOff>
                    <xdr:row>66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12" name="Option Button 33">
              <controlPr defaultSize="0" autoFill="0" autoLine="0" autoPict="0">
                <anchor moveWithCells="1">
                  <from>
                    <xdr:col>4</xdr:col>
                    <xdr:colOff>95250</xdr:colOff>
                    <xdr:row>66</xdr:row>
                    <xdr:rowOff>19050</xdr:rowOff>
                  </from>
                  <to>
                    <xdr:col>4</xdr:col>
                    <xdr:colOff>981075</xdr:colOff>
                    <xdr:row>66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13" name="Option Button 34">
              <controlPr defaultSize="0" autoFill="0" autoLine="0" autoPict="0">
                <anchor moveWithCells="1">
                  <from>
                    <xdr:col>5</xdr:col>
                    <xdr:colOff>152400</xdr:colOff>
                    <xdr:row>66</xdr:row>
                    <xdr:rowOff>38100</xdr:rowOff>
                  </from>
                  <to>
                    <xdr:col>6</xdr:col>
                    <xdr:colOff>276225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14" name="Group Box 35">
              <controlPr defaultSize="0" autoFill="0" autoPict="0">
                <anchor moveWithCells="1">
                  <from>
                    <xdr:col>2</xdr:col>
                    <xdr:colOff>123825</xdr:colOff>
                    <xdr:row>67</xdr:row>
                    <xdr:rowOff>28575</xdr:rowOff>
                  </from>
                  <to>
                    <xdr:col>6</xdr:col>
                    <xdr:colOff>657225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15" name="Option Button 36">
              <controlPr defaultSize="0" autoFill="0" autoLine="0" autoPict="0">
                <anchor moveWithCells="1">
                  <from>
                    <xdr:col>2</xdr:col>
                    <xdr:colOff>304800</xdr:colOff>
                    <xdr:row>67</xdr:row>
                    <xdr:rowOff>38100</xdr:rowOff>
                  </from>
                  <to>
                    <xdr:col>3</xdr:col>
                    <xdr:colOff>342900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16" name="Option Button 37">
              <controlPr defaultSize="0" autoFill="0" autoLine="0" autoPict="0">
                <anchor moveWithCells="1">
                  <from>
                    <xdr:col>4</xdr:col>
                    <xdr:colOff>133350</xdr:colOff>
                    <xdr:row>67</xdr:row>
                    <xdr:rowOff>47625</xdr:rowOff>
                  </from>
                  <to>
                    <xdr:col>4</xdr:col>
                    <xdr:colOff>1076325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17" name="Option Button 38">
              <controlPr defaultSize="0" autoFill="0" autoLine="0" autoPict="0">
                <anchor moveWithCells="1">
                  <from>
                    <xdr:col>5</xdr:col>
                    <xdr:colOff>266700</xdr:colOff>
                    <xdr:row>67</xdr:row>
                    <xdr:rowOff>47625</xdr:rowOff>
                  </from>
                  <to>
                    <xdr:col>6</xdr:col>
                    <xdr:colOff>438150</xdr:colOff>
                    <xdr:row>68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rightToLeft="1" topLeftCell="A7" zoomScale="85" zoomScaleNormal="85" workbookViewId="0">
      <selection activeCell="A17" sqref="A17:C17"/>
    </sheetView>
  </sheetViews>
  <sheetFormatPr defaultRowHeight="12.75"/>
  <cols>
    <col min="2" max="2" width="20.140625" customWidth="1"/>
    <col min="3" max="3" width="19.7109375" customWidth="1"/>
    <col min="4" max="4" width="3.85546875" customWidth="1"/>
    <col min="5" max="5" width="13.85546875" customWidth="1"/>
    <col min="6" max="6" width="10.7109375" customWidth="1"/>
    <col min="7" max="7" width="19.140625" customWidth="1"/>
  </cols>
  <sheetData>
    <row r="1" spans="1:19" ht="21" customHeight="1"/>
    <row r="2" spans="1:19" ht="18.75" customHeight="1" thickBot="1"/>
    <row r="3" spans="1:19" ht="15.75" customHeight="1">
      <c r="A3" s="305" t="str">
        <f>CONCATENATE("شرکت بازرسی:","  ",'ورودي ها'!B134," ")</f>
        <v xml:space="preserve">شرکت بازرسی:   </v>
      </c>
      <c r="B3" s="306"/>
      <c r="C3" s="343" t="s">
        <v>335</v>
      </c>
      <c r="D3" s="344"/>
      <c r="E3" s="344"/>
      <c r="F3" s="162" t="s">
        <v>265</v>
      </c>
      <c r="G3" s="163">
        <f>'ورودي ها'!B1</f>
        <v>0</v>
      </c>
    </row>
    <row r="4" spans="1:19" ht="27" customHeight="1">
      <c r="A4" s="307"/>
      <c r="B4" s="308"/>
      <c r="C4" s="345"/>
      <c r="D4" s="346"/>
      <c r="E4" s="346"/>
      <c r="F4" s="164" t="s">
        <v>266</v>
      </c>
      <c r="G4" s="165"/>
    </row>
    <row r="5" spans="1:19" ht="18.75" customHeight="1" thickBot="1">
      <c r="A5" s="349"/>
      <c r="B5" s="350"/>
      <c r="C5" s="347"/>
      <c r="D5" s="348"/>
      <c r="E5" s="348"/>
      <c r="F5" s="166" t="s">
        <v>267</v>
      </c>
      <c r="G5" s="167"/>
    </row>
    <row r="6" spans="1:19">
      <c r="J6" s="201"/>
    </row>
    <row r="7" spans="1:19">
      <c r="J7" s="77"/>
    </row>
    <row r="8" spans="1:19" ht="13.5" thickBot="1">
      <c r="J8" s="77"/>
    </row>
    <row r="9" spans="1:19" ht="46.5" customHeight="1">
      <c r="A9" s="395" t="str">
        <f>CONCATENATE("شرکت بازرسی:","  ",'ورودي ها'!B134," ")</f>
        <v xml:space="preserve">شرکت بازرسی:   </v>
      </c>
      <c r="B9" s="396"/>
      <c r="C9" s="396"/>
      <c r="D9" s="396"/>
      <c r="E9" s="396"/>
      <c r="F9" s="396"/>
      <c r="G9" s="397"/>
      <c r="J9" s="77"/>
    </row>
    <row r="10" spans="1:19" s="200" customFormat="1" ht="25.5" customHeight="1">
      <c r="A10" s="386" t="s">
        <v>339</v>
      </c>
      <c r="B10" s="387"/>
      <c r="C10" s="387"/>
      <c r="D10" s="387"/>
      <c r="E10" s="387"/>
      <c r="F10" s="387"/>
      <c r="G10" s="388"/>
    </row>
    <row r="11" spans="1:19" s="200" customFormat="1" ht="39" customHeight="1">
      <c r="A11" s="386" t="s">
        <v>347</v>
      </c>
      <c r="B11" s="387"/>
      <c r="C11" s="387"/>
      <c r="D11" s="208" t="str">
        <f>CONCATENATE('ورودي ها'!B3," ","نفر")</f>
        <v xml:space="preserve"> نفر</v>
      </c>
      <c r="E11" s="203" t="str">
        <f>CONCATENATE("با",'ورودي ها'!B4," ","کیلوگرم")</f>
        <v>با کیلوگرم</v>
      </c>
      <c r="F11" s="204" t="str">
        <f>CONCATENATE("تعداد ",'ورودي ها'!B2," توقف")</f>
        <v>تعداد  توقف</v>
      </c>
      <c r="G11" s="205" t="s">
        <v>340</v>
      </c>
    </row>
    <row r="12" spans="1:19" s="200" customFormat="1" ht="25.5" customHeight="1">
      <c r="A12" s="386">
        <f>'ورودي ها'!B36</f>
        <v>0</v>
      </c>
      <c r="B12" s="387"/>
      <c r="C12" s="387"/>
      <c r="D12" s="387"/>
      <c r="E12" s="387"/>
      <c r="F12" s="387"/>
      <c r="G12" s="388"/>
      <c r="I12"/>
      <c r="J12"/>
      <c r="K12"/>
      <c r="L12"/>
      <c r="M12"/>
      <c r="N12"/>
      <c r="O12"/>
      <c r="P12"/>
      <c r="Q12"/>
      <c r="R12"/>
    </row>
    <row r="13" spans="1:19" s="200" customFormat="1" ht="19.5" customHeight="1">
      <c r="A13" s="206" t="s">
        <v>343</v>
      </c>
      <c r="B13" s="207">
        <f>'ورودي ها'!B37</f>
        <v>0</v>
      </c>
      <c r="C13" s="393" t="s">
        <v>342</v>
      </c>
      <c r="D13" s="393"/>
      <c r="E13" s="393"/>
      <c r="F13" s="393"/>
      <c r="G13" s="394"/>
      <c r="I13"/>
      <c r="J13"/>
      <c r="K13"/>
      <c r="L13"/>
      <c r="M13"/>
      <c r="N13"/>
      <c r="O13"/>
      <c r="P13"/>
      <c r="Q13"/>
      <c r="R13"/>
    </row>
    <row r="14" spans="1:19" s="198" customFormat="1" ht="30" customHeight="1">
      <c r="A14" s="389" t="s">
        <v>341</v>
      </c>
      <c r="B14" s="390"/>
      <c r="C14" s="390"/>
      <c r="D14" s="390"/>
      <c r="E14" s="390"/>
      <c r="F14" s="390"/>
      <c r="G14" s="391"/>
      <c r="H14" s="199"/>
      <c r="I14"/>
      <c r="J14"/>
      <c r="K14"/>
      <c r="L14"/>
      <c r="M14"/>
      <c r="N14"/>
      <c r="O14"/>
      <c r="P14"/>
      <c r="Q14"/>
      <c r="R14"/>
      <c r="S14" s="199"/>
    </row>
    <row r="15" spans="1:19" s="198" customFormat="1" ht="34.5" customHeight="1">
      <c r="A15" s="392"/>
      <c r="B15" s="390"/>
      <c r="C15" s="390"/>
      <c r="D15" s="390"/>
      <c r="E15" s="390"/>
      <c r="F15" s="390"/>
      <c r="G15" s="391"/>
      <c r="H15" s="199"/>
      <c r="I15"/>
      <c r="J15"/>
      <c r="K15"/>
      <c r="L15"/>
      <c r="M15"/>
      <c r="N15"/>
      <c r="O15"/>
      <c r="P15"/>
      <c r="Q15"/>
      <c r="R15"/>
      <c r="S15" s="199"/>
    </row>
    <row r="16" spans="1:19" ht="29.25" customHeight="1">
      <c r="A16" s="378" t="s">
        <v>349</v>
      </c>
      <c r="B16" s="379"/>
      <c r="C16" s="380"/>
      <c r="D16" s="376" t="str">
        <f>CONCATENATE('ورودي ها'!B108)</f>
        <v/>
      </c>
      <c r="E16" s="376"/>
      <c r="F16" s="376"/>
      <c r="G16" s="377"/>
    </row>
    <row r="17" spans="1:7" ht="29.25" customHeight="1">
      <c r="A17" s="378" t="s">
        <v>350</v>
      </c>
      <c r="B17" s="379"/>
      <c r="C17" s="380"/>
      <c r="D17" s="376" t="str">
        <f>CONCATENATE('ورودي ها'!B47)</f>
        <v/>
      </c>
      <c r="E17" s="376"/>
      <c r="F17" s="376"/>
      <c r="G17" s="377"/>
    </row>
    <row r="18" spans="1:7" ht="29.25" customHeight="1">
      <c r="A18" s="378" t="s">
        <v>351</v>
      </c>
      <c r="B18" s="379"/>
      <c r="C18" s="380"/>
      <c r="D18" s="376" t="str">
        <f>CONCATENATE('ورودي ها'!B51)</f>
        <v/>
      </c>
      <c r="E18" s="376"/>
      <c r="F18" s="376"/>
      <c r="G18" s="377"/>
    </row>
    <row r="19" spans="1:7" ht="29.25" customHeight="1">
      <c r="A19" s="378" t="s">
        <v>352</v>
      </c>
      <c r="B19" s="379"/>
      <c r="C19" s="380"/>
      <c r="D19" s="376" t="str">
        <f>CONCATENATE('ورودي ها'!B84)</f>
        <v/>
      </c>
      <c r="E19" s="376"/>
      <c r="F19" s="376"/>
      <c r="G19" s="377"/>
    </row>
    <row r="20" spans="1:7" ht="29.25" customHeight="1">
      <c r="A20" s="378" t="s">
        <v>353</v>
      </c>
      <c r="B20" s="379"/>
      <c r="C20" s="380"/>
      <c r="D20" s="376" t="str">
        <f>CONCATENATE('ورودي ها'!B129)</f>
        <v/>
      </c>
      <c r="E20" s="376"/>
      <c r="F20" s="376"/>
      <c r="G20" s="377"/>
    </row>
    <row r="21" spans="1:7" ht="29.25" customHeight="1">
      <c r="A21" s="378" t="s">
        <v>354</v>
      </c>
      <c r="B21" s="379"/>
      <c r="C21" s="380"/>
      <c r="D21" s="376" t="str">
        <f>CONCATENATE('ورودي ها'!B132)</f>
        <v/>
      </c>
      <c r="E21" s="376"/>
      <c r="F21" s="376"/>
      <c r="G21" s="377"/>
    </row>
    <row r="22" spans="1:7" ht="29.25" customHeight="1">
      <c r="A22" s="378" t="s">
        <v>355</v>
      </c>
      <c r="B22" s="379"/>
      <c r="C22" s="380"/>
      <c r="D22" s="376" t="str">
        <f>CONCATENATE('ورودي ها'!B133)</f>
        <v/>
      </c>
      <c r="E22" s="376"/>
      <c r="F22" s="376"/>
      <c r="G22" s="377"/>
    </row>
    <row r="23" spans="1:7" ht="29.25" customHeight="1">
      <c r="A23" s="378" t="s">
        <v>356</v>
      </c>
      <c r="B23" s="379"/>
      <c r="C23" s="380"/>
      <c r="D23" s="376" t="str">
        <f>CONCATENATE('ورودي ها'!B43)</f>
        <v/>
      </c>
      <c r="E23" s="376"/>
      <c r="F23" s="376"/>
      <c r="G23" s="377"/>
    </row>
    <row r="24" spans="1:7" ht="29.25" customHeight="1">
      <c r="A24" s="378" t="s">
        <v>357</v>
      </c>
      <c r="B24" s="379"/>
      <c r="C24" s="380"/>
      <c r="D24" s="376" t="str">
        <f>CONCATENATE('ورودي ها'!B133)</f>
        <v/>
      </c>
      <c r="E24" s="376"/>
      <c r="F24" s="376"/>
      <c r="G24" s="377"/>
    </row>
    <row r="25" spans="1:7" ht="29.25" customHeight="1">
      <c r="A25" s="378" t="s">
        <v>358</v>
      </c>
      <c r="B25" s="379"/>
      <c r="C25" s="380"/>
      <c r="D25" s="376" t="str">
        <f>CONCATENATE('ورودي ها'!B57)</f>
        <v/>
      </c>
      <c r="E25" s="376"/>
      <c r="F25" s="376"/>
      <c r="G25" s="377"/>
    </row>
    <row r="26" spans="1:7" ht="29.25" customHeight="1">
      <c r="A26" s="378" t="s">
        <v>359</v>
      </c>
      <c r="B26" s="379"/>
      <c r="C26" s="380"/>
      <c r="D26" s="376" t="str">
        <f>CONCATENATE('ورودي ها'!B65)</f>
        <v/>
      </c>
      <c r="E26" s="376"/>
      <c r="F26" s="376"/>
      <c r="G26" s="377"/>
    </row>
    <row r="27" spans="1:7" ht="29.25" customHeight="1" thickBot="1">
      <c r="A27" s="381" t="s">
        <v>348</v>
      </c>
      <c r="B27" s="382"/>
      <c r="C27" s="383"/>
      <c r="D27" s="384" t="str">
        <f>CONCATENATE('ورودي ها'!B90)</f>
        <v>چدن</v>
      </c>
      <c r="E27" s="384"/>
      <c r="F27" s="384"/>
      <c r="G27" s="385"/>
    </row>
    <row r="28" spans="1:7" ht="21" customHeight="1"/>
    <row r="29" spans="1:7" ht="18.75" customHeight="1" thickBot="1"/>
    <row r="30" spans="1:7" ht="15.75" customHeight="1">
      <c r="A30" s="305" t="str">
        <f>CONCATENATE("شرکت بازرسی:","  ",'ورودي ها'!B134," ")</f>
        <v xml:space="preserve">شرکت بازرسی:   </v>
      </c>
      <c r="B30" s="306"/>
      <c r="C30" s="343" t="s">
        <v>336</v>
      </c>
      <c r="D30" s="344"/>
      <c r="E30" s="344"/>
      <c r="F30" s="162" t="s">
        <v>265</v>
      </c>
      <c r="G30" s="163">
        <f>'ورودي ها'!B1</f>
        <v>0</v>
      </c>
    </row>
    <row r="31" spans="1:7" ht="27" customHeight="1">
      <c r="A31" s="307"/>
      <c r="B31" s="308"/>
      <c r="C31" s="345"/>
      <c r="D31" s="346"/>
      <c r="E31" s="346"/>
      <c r="F31" s="164" t="s">
        <v>266</v>
      </c>
      <c r="G31" s="165"/>
    </row>
    <row r="32" spans="1:7" ht="18.75" customHeight="1" thickBot="1">
      <c r="A32" s="349"/>
      <c r="B32" s="350"/>
      <c r="C32" s="347"/>
      <c r="D32" s="348"/>
      <c r="E32" s="348"/>
      <c r="F32" s="166" t="s">
        <v>267</v>
      </c>
      <c r="G32" s="167"/>
    </row>
    <row r="33" spans="1:10">
      <c r="J33" s="201"/>
    </row>
    <row r="34" spans="1:10">
      <c r="J34" s="77"/>
    </row>
    <row r="35" spans="1:10" ht="13.5" thickBot="1">
      <c r="J35" s="77"/>
    </row>
    <row r="36" spans="1:10" ht="23.25" customHeight="1">
      <c r="A36" s="363" t="s">
        <v>345</v>
      </c>
      <c r="B36" s="364"/>
      <c r="C36" s="364"/>
      <c r="D36" s="364"/>
      <c r="E36" s="364"/>
      <c r="F36" s="364"/>
      <c r="G36" s="365"/>
    </row>
    <row r="37" spans="1:10" ht="12.75" customHeight="1">
      <c r="A37" s="366"/>
      <c r="B37" s="367"/>
      <c r="C37" s="367"/>
      <c r="D37" s="367"/>
      <c r="E37" s="367"/>
      <c r="F37" s="367"/>
      <c r="G37" s="368"/>
    </row>
    <row r="38" spans="1:10" ht="12.75" customHeight="1">
      <c r="A38" s="366"/>
      <c r="B38" s="367"/>
      <c r="C38" s="367"/>
      <c r="D38" s="367"/>
      <c r="E38" s="367"/>
      <c r="F38" s="367"/>
      <c r="G38" s="368"/>
    </row>
    <row r="39" spans="1:10" ht="12.75" customHeight="1">
      <c r="A39" s="366"/>
      <c r="B39" s="367"/>
      <c r="C39" s="367"/>
      <c r="D39" s="367"/>
      <c r="E39" s="367"/>
      <c r="F39" s="367"/>
      <c r="G39" s="368"/>
    </row>
    <row r="40" spans="1:10" ht="12.75" customHeight="1">
      <c r="A40" s="366"/>
      <c r="B40" s="367"/>
      <c r="C40" s="367"/>
      <c r="D40" s="367"/>
      <c r="E40" s="367"/>
      <c r="F40" s="367"/>
      <c r="G40" s="368"/>
    </row>
    <row r="41" spans="1:10" ht="12.75" customHeight="1">
      <c r="A41" s="366"/>
      <c r="B41" s="367"/>
      <c r="C41" s="367"/>
      <c r="D41" s="367"/>
      <c r="E41" s="367"/>
      <c r="F41" s="367"/>
      <c r="G41" s="368"/>
    </row>
    <row r="42" spans="1:10" ht="12.75" customHeight="1">
      <c r="A42" s="366"/>
      <c r="B42" s="367"/>
      <c r="C42" s="367"/>
      <c r="D42" s="367"/>
      <c r="E42" s="367"/>
      <c r="F42" s="367"/>
      <c r="G42" s="368"/>
    </row>
    <row r="43" spans="1:10" ht="12.75" customHeight="1">
      <c r="A43" s="366"/>
      <c r="B43" s="367"/>
      <c r="C43" s="367"/>
      <c r="D43" s="367"/>
      <c r="E43" s="367"/>
      <c r="F43" s="367"/>
      <c r="G43" s="368"/>
    </row>
    <row r="44" spans="1:10" ht="12.75" customHeight="1">
      <c r="A44" s="366"/>
      <c r="B44" s="367"/>
      <c r="C44" s="367"/>
      <c r="D44" s="367"/>
      <c r="E44" s="367"/>
      <c r="F44" s="367"/>
      <c r="G44" s="368"/>
    </row>
    <row r="45" spans="1:10" ht="12.75" customHeight="1">
      <c r="A45" s="366"/>
      <c r="B45" s="367"/>
      <c r="C45" s="367"/>
      <c r="D45" s="367"/>
      <c r="E45" s="367"/>
      <c r="F45" s="367"/>
      <c r="G45" s="368"/>
    </row>
    <row r="46" spans="1:10" ht="12.75" customHeight="1">
      <c r="A46" s="366"/>
      <c r="B46" s="367"/>
      <c r="C46" s="367"/>
      <c r="D46" s="367"/>
      <c r="E46" s="367"/>
      <c r="F46" s="367"/>
      <c r="G46" s="368"/>
    </row>
    <row r="47" spans="1:10" ht="12.75" customHeight="1">
      <c r="A47" s="366"/>
      <c r="B47" s="367"/>
      <c r="C47" s="367"/>
      <c r="D47" s="367"/>
      <c r="E47" s="367"/>
      <c r="F47" s="367"/>
      <c r="G47" s="368"/>
    </row>
    <row r="48" spans="1:10" ht="12.75" customHeight="1">
      <c r="A48" s="366"/>
      <c r="B48" s="367"/>
      <c r="C48" s="367"/>
      <c r="D48" s="367"/>
      <c r="E48" s="367"/>
      <c r="F48" s="367"/>
      <c r="G48" s="368"/>
    </row>
    <row r="49" spans="1:16" ht="12.75" customHeight="1">
      <c r="A49" s="366"/>
      <c r="B49" s="367"/>
      <c r="C49" s="367"/>
      <c r="D49" s="367"/>
      <c r="E49" s="367"/>
      <c r="F49" s="367"/>
      <c r="G49" s="368"/>
    </row>
    <row r="50" spans="1:16" ht="12.75" customHeight="1">
      <c r="A50" s="366"/>
      <c r="B50" s="367"/>
      <c r="C50" s="367"/>
      <c r="D50" s="367"/>
      <c r="E50" s="367"/>
      <c r="F50" s="367"/>
      <c r="G50" s="368"/>
    </row>
    <row r="51" spans="1:16" ht="12.75" customHeight="1">
      <c r="A51" s="366"/>
      <c r="B51" s="367"/>
      <c r="C51" s="367"/>
      <c r="D51" s="367"/>
      <c r="E51" s="367"/>
      <c r="F51" s="367"/>
      <c r="G51" s="368"/>
    </row>
    <row r="52" spans="1:16" ht="12.75" customHeight="1">
      <c r="A52" s="366"/>
      <c r="B52" s="367"/>
      <c r="C52" s="367"/>
      <c r="D52" s="367"/>
      <c r="E52" s="367"/>
      <c r="F52" s="367"/>
      <c r="G52" s="368"/>
    </row>
    <row r="53" spans="1:16" ht="12.75" customHeight="1">
      <c r="A53" s="366"/>
      <c r="B53" s="367"/>
      <c r="C53" s="367"/>
      <c r="D53" s="367"/>
      <c r="E53" s="367"/>
      <c r="F53" s="367"/>
      <c r="G53" s="368"/>
    </row>
    <row r="54" spans="1:16" ht="12.75" customHeight="1">
      <c r="A54" s="366"/>
      <c r="B54" s="367"/>
      <c r="C54" s="367"/>
      <c r="D54" s="367"/>
      <c r="E54" s="367"/>
      <c r="F54" s="367"/>
      <c r="G54" s="368"/>
      <c r="O54" s="193"/>
      <c r="P54" s="194"/>
    </row>
    <row r="55" spans="1:16" ht="12.75" customHeight="1">
      <c r="A55" s="366"/>
      <c r="B55" s="367"/>
      <c r="C55" s="367"/>
      <c r="D55" s="367"/>
      <c r="E55" s="367"/>
      <c r="F55" s="367"/>
      <c r="G55" s="368"/>
      <c r="O55" s="193" t="s">
        <v>344</v>
      </c>
      <c r="P55" s="194"/>
    </row>
    <row r="56" spans="1:16" ht="12.75" customHeight="1">
      <c r="A56" s="366"/>
      <c r="B56" s="367"/>
      <c r="C56" s="367"/>
      <c r="D56" s="367"/>
      <c r="E56" s="367"/>
      <c r="F56" s="367"/>
      <c r="G56" s="368"/>
      <c r="P56" s="194"/>
    </row>
    <row r="57" spans="1:16" ht="12.75" customHeight="1">
      <c r="A57" s="366"/>
      <c r="B57" s="367"/>
      <c r="C57" s="367"/>
      <c r="D57" s="367"/>
      <c r="E57" s="367"/>
      <c r="F57" s="367"/>
      <c r="G57" s="368"/>
    </row>
    <row r="58" spans="1:16" ht="12.75" customHeight="1">
      <c r="A58" s="366"/>
      <c r="B58" s="367"/>
      <c r="C58" s="367"/>
      <c r="D58" s="367"/>
      <c r="E58" s="367"/>
      <c r="F58" s="367"/>
      <c r="G58" s="368"/>
    </row>
    <row r="59" spans="1:16" ht="57.75" customHeight="1">
      <c r="A59" s="366"/>
      <c r="B59" s="367"/>
      <c r="C59" s="367"/>
      <c r="D59" s="367"/>
      <c r="E59" s="367"/>
      <c r="F59" s="367"/>
      <c r="G59" s="368"/>
    </row>
    <row r="60" spans="1:16" ht="108" customHeight="1">
      <c r="A60" s="366"/>
      <c r="B60" s="367"/>
      <c r="C60" s="367"/>
      <c r="D60" s="367"/>
      <c r="E60" s="367"/>
      <c r="F60" s="367"/>
      <c r="G60" s="368"/>
    </row>
    <row r="61" spans="1:16" ht="12.75" customHeight="1">
      <c r="A61" s="369" t="s">
        <v>346</v>
      </c>
      <c r="B61" s="370"/>
      <c r="C61" s="370"/>
      <c r="D61" s="370"/>
      <c r="E61" s="370"/>
      <c r="F61" s="370"/>
      <c r="G61" s="371"/>
    </row>
    <row r="62" spans="1:16" ht="12.75" customHeight="1">
      <c r="A62" s="372"/>
      <c r="B62" s="370"/>
      <c r="C62" s="370"/>
      <c r="D62" s="370"/>
      <c r="E62" s="370"/>
      <c r="F62" s="370"/>
      <c r="G62" s="371"/>
    </row>
    <row r="63" spans="1:16" ht="12.75" customHeight="1">
      <c r="A63" s="372"/>
      <c r="B63" s="370"/>
      <c r="C63" s="370"/>
      <c r="D63" s="370"/>
      <c r="E63" s="370"/>
      <c r="F63" s="370"/>
      <c r="G63" s="371"/>
    </row>
    <row r="64" spans="1:16" ht="12.75" customHeight="1">
      <c r="A64" s="372"/>
      <c r="B64" s="370"/>
      <c r="C64" s="370"/>
      <c r="D64" s="370"/>
      <c r="E64" s="370"/>
      <c r="F64" s="370"/>
      <c r="G64" s="371"/>
    </row>
    <row r="65" spans="1:7" ht="72.75" customHeight="1" thickBot="1">
      <c r="A65" s="373"/>
      <c r="B65" s="374"/>
      <c r="C65" s="374"/>
      <c r="D65" s="374"/>
      <c r="E65" s="374"/>
      <c r="F65" s="374"/>
      <c r="G65" s="375"/>
    </row>
  </sheetData>
  <mergeCells count="36">
    <mergeCell ref="D19:G19"/>
    <mergeCell ref="A3:B5"/>
    <mergeCell ref="C3:E5"/>
    <mergeCell ref="A9:G9"/>
    <mergeCell ref="A23:C23"/>
    <mergeCell ref="A24:C24"/>
    <mergeCell ref="D16:G16"/>
    <mergeCell ref="A10:G10"/>
    <mergeCell ref="A11:C11"/>
    <mergeCell ref="A12:G12"/>
    <mergeCell ref="A14:G15"/>
    <mergeCell ref="C13:G13"/>
    <mergeCell ref="A20:C20"/>
    <mergeCell ref="D20:G20"/>
    <mergeCell ref="A16:C16"/>
    <mergeCell ref="A17:C17"/>
    <mergeCell ref="A18:C18"/>
    <mergeCell ref="A19:C19"/>
    <mergeCell ref="D17:G17"/>
    <mergeCell ref="D18:G18"/>
    <mergeCell ref="A36:G60"/>
    <mergeCell ref="A61:G65"/>
    <mergeCell ref="C30:E32"/>
    <mergeCell ref="D21:G21"/>
    <mergeCell ref="D22:G22"/>
    <mergeCell ref="D23:G23"/>
    <mergeCell ref="D24:G24"/>
    <mergeCell ref="D25:G25"/>
    <mergeCell ref="D26:G26"/>
    <mergeCell ref="A21:C21"/>
    <mergeCell ref="A26:C26"/>
    <mergeCell ref="A27:C27"/>
    <mergeCell ref="D27:G27"/>
    <mergeCell ref="A22:C22"/>
    <mergeCell ref="A30:B32"/>
    <mergeCell ref="A25:C25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ورودي ها</vt:lpstr>
      <vt:lpstr>مشخصات سيم بكسلها</vt:lpstr>
      <vt:lpstr>مشخصات ريلها</vt:lpstr>
      <vt:lpstr>موتور</vt:lpstr>
      <vt:lpstr>محاسبات</vt:lpstr>
      <vt:lpstr>مشخصات فنی</vt:lpstr>
      <vt:lpstr>تاییدیه اجزا</vt:lpstr>
      <vt:lpstr>'تاییدیه اجزا'!Print_Area</vt:lpstr>
      <vt:lpstr>محاسبات!Print_Area</vt:lpstr>
      <vt:lpstr>'ورودي ها'!Print_Area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iei</dc:creator>
  <cp:lastModifiedBy>Administrator</cp:lastModifiedBy>
  <cp:lastPrinted>2015-12-15T12:52:11Z</cp:lastPrinted>
  <dcterms:created xsi:type="dcterms:W3CDTF">2006-04-18T11:35:15Z</dcterms:created>
  <dcterms:modified xsi:type="dcterms:W3CDTF">2015-12-20T07:59:20Z</dcterms:modified>
</cp:coreProperties>
</file>